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petergustafsson/SLASK/"/>
    </mc:Choice>
  </mc:AlternateContent>
  <bookViews>
    <workbookView xWindow="5020" yWindow="3580" windowWidth="30920" windowHeight="20940"/>
  </bookViews>
  <sheets>
    <sheet name="Sammanställning" sheetId="1" r:id="rId1"/>
    <sheet name="StoraO" sheetId="2" r:id="rId2"/>
    <sheet name="MBBR" sheetId="11" r:id="rId3"/>
    <sheet name="PaterN" sheetId="3" r:id="rId4"/>
    <sheet name="GOSR" sheetId="10" r:id="rId5"/>
    <sheet name="HermÖ" sheetId="5" r:id="rId6"/>
    <sheet name="TjörnR" sheetId="7" r:id="rId7"/>
    <sheet name="SistaC" sheetId="8" r:id="rId8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9" i="1" l="1"/>
  <c r="N118" i="1"/>
  <c r="N117" i="1"/>
  <c r="K11" i="8"/>
  <c r="M36" i="1"/>
  <c r="K10" i="8"/>
  <c r="M55" i="1"/>
  <c r="K9" i="8"/>
  <c r="M42" i="1"/>
  <c r="K8" i="8"/>
  <c r="M8" i="1"/>
  <c r="K7" i="8"/>
  <c r="M6" i="1"/>
  <c r="K6" i="8"/>
  <c r="M7" i="1"/>
  <c r="K5" i="8"/>
  <c r="M5" i="1"/>
  <c r="L122" i="1"/>
  <c r="N122" i="1"/>
  <c r="L121" i="1"/>
  <c r="N121" i="1"/>
  <c r="M50" i="7"/>
  <c r="L67" i="1"/>
  <c r="M49" i="7"/>
  <c r="L115" i="1"/>
  <c r="N115" i="1"/>
  <c r="M48" i="7"/>
  <c r="L37" i="1"/>
  <c r="M47" i="7"/>
  <c r="L114" i="1"/>
  <c r="N114" i="1"/>
  <c r="M46" i="7"/>
  <c r="L31" i="1"/>
  <c r="M45" i="7"/>
  <c r="L17" i="1"/>
  <c r="M44" i="7"/>
  <c r="L113" i="1"/>
  <c r="N113" i="1"/>
  <c r="M43" i="7"/>
  <c r="L112" i="1"/>
  <c r="N112" i="1"/>
  <c r="M42" i="7"/>
  <c r="L54" i="1"/>
  <c r="M41" i="7"/>
  <c r="L103" i="1"/>
  <c r="N103" i="1"/>
  <c r="M40" i="7"/>
  <c r="L100" i="1"/>
  <c r="N100" i="1"/>
  <c r="M39" i="7"/>
  <c r="L98" i="1"/>
  <c r="N98" i="1"/>
  <c r="M38" i="7"/>
  <c r="L97" i="1"/>
  <c r="N97" i="1"/>
  <c r="M37" i="7"/>
  <c r="L93" i="1"/>
  <c r="N93" i="1"/>
  <c r="M36" i="7"/>
  <c r="L92" i="1"/>
  <c r="N92" i="1"/>
  <c r="M35" i="7"/>
  <c r="L91" i="1"/>
  <c r="N91" i="1"/>
  <c r="M34" i="7"/>
  <c r="L28" i="1"/>
  <c r="M33" i="7"/>
  <c r="L87" i="1"/>
  <c r="N87" i="1"/>
  <c r="M32" i="7"/>
  <c r="L86" i="1"/>
  <c r="N86" i="1"/>
  <c r="M31" i="7"/>
  <c r="L83" i="1"/>
  <c r="N83" i="1"/>
  <c r="M30" i="7"/>
  <c r="L12" i="1"/>
  <c r="M29" i="7"/>
  <c r="L22" i="1"/>
  <c r="M28" i="7"/>
  <c r="L78" i="1"/>
  <c r="N78" i="1"/>
  <c r="M27" i="7"/>
  <c r="L27" i="1"/>
  <c r="M26" i="7"/>
  <c r="L9" i="1"/>
  <c r="M25" i="7"/>
  <c r="L74" i="1"/>
  <c r="N74" i="1"/>
  <c r="M24" i="7"/>
  <c r="L70" i="1"/>
  <c r="N70" i="1"/>
  <c r="M23" i="7"/>
  <c r="L35" i="1"/>
  <c r="M22" i="7"/>
  <c r="L30" i="1"/>
  <c r="M21" i="7"/>
  <c r="L10" i="1"/>
  <c r="M20" i="7"/>
  <c r="L16" i="1"/>
  <c r="M19" i="7"/>
  <c r="L8" i="1"/>
  <c r="M18" i="7"/>
  <c r="L21" i="1"/>
  <c r="M17" i="7"/>
  <c r="L11" i="1"/>
  <c r="M16" i="7"/>
  <c r="L23" i="1"/>
  <c r="M15" i="7"/>
  <c r="L15" i="1"/>
  <c r="M14" i="7"/>
  <c r="L59" i="1"/>
  <c r="N59" i="1"/>
  <c r="M13" i="7"/>
  <c r="L26" i="1"/>
  <c r="M12" i="7"/>
  <c r="L18" i="1"/>
  <c r="M11" i="7"/>
  <c r="L53" i="1"/>
  <c r="N53" i="1"/>
  <c r="M10" i="7"/>
  <c r="L6" i="1"/>
  <c r="M9" i="7"/>
  <c r="L20" i="1"/>
  <c r="M8" i="7"/>
  <c r="L7" i="1"/>
  <c r="M7" i="7"/>
  <c r="L44" i="1"/>
  <c r="N44" i="1"/>
  <c r="M6" i="7"/>
  <c r="L19" i="1"/>
  <c r="M5" i="7"/>
  <c r="L5" i="1"/>
  <c r="J41" i="7"/>
  <c r="K41" i="7"/>
  <c r="J32" i="7"/>
  <c r="K32" i="7"/>
  <c r="J39" i="7"/>
  <c r="K39" i="7"/>
  <c r="J38" i="7"/>
  <c r="K38" i="7"/>
  <c r="J36" i="7"/>
  <c r="K36" i="7"/>
  <c r="J37" i="7"/>
  <c r="K37" i="7"/>
  <c r="J40" i="7"/>
  <c r="K40" i="7"/>
  <c r="J28" i="7"/>
  <c r="K28" i="7"/>
  <c r="J27" i="7"/>
  <c r="K27" i="7"/>
  <c r="J23" i="7"/>
  <c r="K23" i="7"/>
  <c r="J20" i="7"/>
  <c r="K20" i="7"/>
  <c r="J11" i="7"/>
  <c r="K11" i="7"/>
  <c r="J7" i="7"/>
  <c r="K7" i="7"/>
  <c r="J29" i="7"/>
  <c r="K29" i="7"/>
  <c r="J35" i="7"/>
  <c r="K35" i="7"/>
  <c r="J30" i="7"/>
  <c r="K30" i="7"/>
  <c r="J33" i="7"/>
  <c r="K33" i="7"/>
  <c r="J25" i="7"/>
  <c r="K25" i="7"/>
  <c r="J34" i="7"/>
  <c r="K34" i="7"/>
  <c r="J31" i="7"/>
  <c r="K31" i="7"/>
  <c r="J24" i="7"/>
  <c r="K24" i="7"/>
  <c r="J17" i="7"/>
  <c r="K17" i="7"/>
  <c r="J21" i="7"/>
  <c r="K21" i="7"/>
  <c r="J22" i="7"/>
  <c r="K22" i="7"/>
  <c r="J16" i="7"/>
  <c r="K16" i="7"/>
  <c r="J19" i="7"/>
  <c r="K19" i="7"/>
  <c r="J18" i="7"/>
  <c r="K18" i="7"/>
  <c r="J26" i="7"/>
  <c r="K26" i="7"/>
  <c r="J8" i="7"/>
  <c r="K8" i="7"/>
  <c r="J10" i="7"/>
  <c r="K10" i="7"/>
  <c r="J13" i="7"/>
  <c r="K13" i="7"/>
  <c r="J15" i="7"/>
  <c r="K15" i="7"/>
  <c r="J9" i="7"/>
  <c r="K9" i="7"/>
  <c r="J6" i="7"/>
  <c r="K6" i="7"/>
  <c r="J14" i="7"/>
  <c r="K14" i="7"/>
  <c r="J12" i="7"/>
  <c r="K12" i="7"/>
  <c r="J5" i="7"/>
  <c r="K5" i="7"/>
  <c r="J11" i="10"/>
  <c r="K49" i="1"/>
  <c r="J10" i="10"/>
  <c r="K10" i="1"/>
  <c r="J9" i="10"/>
  <c r="K14" i="1"/>
  <c r="J8" i="10"/>
  <c r="K11" i="1"/>
  <c r="J7" i="10"/>
  <c r="K15" i="1"/>
  <c r="J6" i="10"/>
  <c r="K31" i="1"/>
  <c r="J5" i="10"/>
  <c r="K5" i="1"/>
  <c r="I8" i="10"/>
  <c r="I10" i="10"/>
  <c r="I11" i="10"/>
  <c r="I7" i="10"/>
  <c r="I5" i="10"/>
  <c r="I9" i="10"/>
  <c r="I6" i="10"/>
  <c r="L27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23" i="5"/>
  <c r="J94" i="1"/>
  <c r="N94" i="1"/>
  <c r="J116" i="1"/>
  <c r="N116" i="1"/>
  <c r="L26" i="5"/>
  <c r="J35" i="1"/>
  <c r="N35" i="1"/>
  <c r="L25" i="5"/>
  <c r="J102" i="1"/>
  <c r="N102" i="1"/>
  <c r="L20" i="5"/>
  <c r="J89" i="1"/>
  <c r="N89" i="1"/>
  <c r="L19" i="5"/>
  <c r="J84" i="1"/>
  <c r="N84" i="1"/>
  <c r="L17" i="5"/>
  <c r="J76" i="1"/>
  <c r="N76" i="1"/>
  <c r="L11" i="5"/>
  <c r="J60" i="1"/>
  <c r="N60" i="1"/>
  <c r="L9" i="5"/>
  <c r="J27" i="1"/>
  <c r="N27" i="1"/>
  <c r="L6" i="5"/>
  <c r="J21" i="1"/>
  <c r="N21" i="1"/>
  <c r="J120" i="1"/>
  <c r="L22" i="5"/>
  <c r="J22" i="1"/>
  <c r="L16" i="5"/>
  <c r="J18" i="1"/>
  <c r="L10" i="5"/>
  <c r="J24" i="1"/>
  <c r="L5" i="5"/>
  <c r="J5" i="1"/>
  <c r="L18" i="5"/>
  <c r="J29" i="1"/>
  <c r="J15" i="1"/>
  <c r="L15" i="5"/>
  <c r="J25" i="1"/>
  <c r="L7" i="5"/>
  <c r="J10" i="1"/>
  <c r="L24" i="5"/>
  <c r="J14" i="1"/>
  <c r="L21" i="5"/>
  <c r="J12" i="1"/>
  <c r="L14" i="5"/>
  <c r="J13" i="1"/>
  <c r="L13" i="5"/>
  <c r="J9" i="1"/>
  <c r="L8" i="5"/>
  <c r="J6" i="1"/>
  <c r="L12" i="5"/>
  <c r="J8" i="1"/>
  <c r="J15" i="2"/>
  <c r="J14" i="2"/>
  <c r="J13" i="2"/>
  <c r="J12" i="2"/>
  <c r="J11" i="2"/>
  <c r="J10" i="2"/>
  <c r="J9" i="2"/>
  <c r="J8" i="2"/>
  <c r="J7" i="2"/>
  <c r="J6" i="2"/>
  <c r="J5" i="2"/>
  <c r="J22" i="5"/>
  <c r="K22" i="5"/>
  <c r="J23" i="5"/>
  <c r="K23" i="5"/>
  <c r="J16" i="5"/>
  <c r="K16" i="5"/>
  <c r="J13" i="5"/>
  <c r="K13" i="5"/>
  <c r="J11" i="5"/>
  <c r="K11" i="5"/>
  <c r="J9" i="5"/>
  <c r="K9" i="5"/>
  <c r="J8" i="5"/>
  <c r="K8" i="5"/>
  <c r="J21" i="5"/>
  <c r="K21" i="5"/>
  <c r="J26" i="5"/>
  <c r="K26" i="5"/>
  <c r="J7" i="5"/>
  <c r="K7" i="5"/>
  <c r="J24" i="5"/>
  <c r="K24" i="5"/>
  <c r="J19" i="5"/>
  <c r="K19" i="5"/>
  <c r="J14" i="5"/>
  <c r="K14" i="5"/>
  <c r="J5" i="5"/>
  <c r="K5" i="5"/>
  <c r="J18" i="5"/>
  <c r="K18" i="5"/>
  <c r="J20" i="5"/>
  <c r="K20" i="5"/>
  <c r="J6" i="5"/>
  <c r="K6" i="5"/>
  <c r="J15" i="5"/>
  <c r="K15" i="5"/>
  <c r="J25" i="5"/>
  <c r="K25" i="5"/>
  <c r="J12" i="5"/>
  <c r="K12" i="5"/>
  <c r="J10" i="5"/>
  <c r="K10" i="5"/>
  <c r="J17" i="5"/>
  <c r="K17" i="5"/>
  <c r="I120" i="1"/>
  <c r="N120" i="1"/>
  <c r="I28" i="1"/>
  <c r="I80" i="1"/>
  <c r="N80" i="1"/>
  <c r="I34" i="1"/>
  <c r="I37" i="1"/>
  <c r="N37" i="1"/>
  <c r="I33" i="1"/>
  <c r="I11" i="1"/>
  <c r="I29" i="1"/>
  <c r="N29" i="1"/>
  <c r="I17" i="1"/>
  <c r="I8" i="1"/>
  <c r="I58" i="1"/>
  <c r="N58" i="1"/>
  <c r="I12" i="1"/>
  <c r="I25" i="1"/>
  <c r="N25" i="1"/>
  <c r="I7" i="1"/>
  <c r="I9" i="1"/>
  <c r="I123" i="1"/>
  <c r="N123" i="1"/>
  <c r="I45" i="1"/>
  <c r="I10" i="1"/>
  <c r="I14" i="1"/>
  <c r="I13" i="1"/>
  <c r="I32" i="1"/>
  <c r="I41" i="1"/>
  <c r="N41" i="1"/>
  <c r="I6" i="1"/>
  <c r="J25" i="3"/>
  <c r="K25" i="3"/>
  <c r="J24" i="3"/>
  <c r="K24" i="3"/>
  <c r="J23" i="3"/>
  <c r="K23" i="3"/>
  <c r="P72" i="11"/>
  <c r="H32" i="1"/>
  <c r="P67" i="11"/>
  <c r="H107" i="1"/>
  <c r="N107" i="1"/>
  <c r="P27" i="11"/>
  <c r="H65" i="1"/>
  <c r="N65" i="1"/>
  <c r="P53" i="11"/>
  <c r="H12" i="1"/>
  <c r="N12" i="1"/>
  <c r="P40" i="11"/>
  <c r="H9" i="1"/>
  <c r="P17" i="11"/>
  <c r="H56" i="1"/>
  <c r="N56" i="1"/>
  <c r="P57" i="11"/>
  <c r="H22" i="1"/>
  <c r="N22" i="1"/>
  <c r="P56" i="11"/>
  <c r="H96" i="1"/>
  <c r="N96" i="1"/>
  <c r="P70" i="11"/>
  <c r="H108" i="1"/>
  <c r="N108" i="1"/>
  <c r="P36" i="11"/>
  <c r="H75" i="1"/>
  <c r="N75" i="1"/>
  <c r="P16" i="11"/>
  <c r="H20" i="1"/>
  <c r="N20" i="1"/>
  <c r="P37" i="11"/>
  <c r="H26" i="1"/>
  <c r="N26" i="1"/>
  <c r="P32" i="11"/>
  <c r="H68" i="1"/>
  <c r="N68" i="1"/>
  <c r="P71" i="11"/>
  <c r="H109" i="1"/>
  <c r="N109" i="1"/>
  <c r="P14" i="11"/>
  <c r="H52" i="1"/>
  <c r="N52" i="1"/>
  <c r="P8" i="11"/>
  <c r="H43" i="1"/>
  <c r="N43" i="1"/>
  <c r="P60" i="11"/>
  <c r="H101" i="1"/>
  <c r="N101" i="1"/>
  <c r="P44" i="11"/>
  <c r="H8" i="1"/>
  <c r="P65" i="11"/>
  <c r="H17" i="1"/>
  <c r="P12" i="11"/>
  <c r="H50" i="1"/>
  <c r="N50" i="1"/>
  <c r="P20" i="11"/>
  <c r="H61" i="1"/>
  <c r="N61" i="1"/>
  <c r="P48" i="11"/>
  <c r="H10" i="1"/>
  <c r="N10" i="1"/>
  <c r="P33" i="11"/>
  <c r="H69" i="1"/>
  <c r="N69" i="1"/>
  <c r="P47" i="11"/>
  <c r="H49" i="1"/>
  <c r="N49" i="1"/>
  <c r="P6" i="11"/>
  <c r="H39" i="1"/>
  <c r="N39" i="1"/>
  <c r="P24" i="11"/>
  <c r="H64" i="1"/>
  <c r="N64" i="1"/>
  <c r="P51" i="11"/>
  <c r="H90" i="1"/>
  <c r="N90" i="1"/>
  <c r="P43" i="11"/>
  <c r="H81" i="1"/>
  <c r="N81" i="1"/>
  <c r="P7" i="11"/>
  <c r="H40" i="1"/>
  <c r="N40" i="1"/>
  <c r="P5" i="11"/>
  <c r="H38" i="1"/>
  <c r="N38" i="1"/>
  <c r="P46" i="11"/>
  <c r="H85" i="1"/>
  <c r="N85" i="1"/>
  <c r="P31" i="11"/>
  <c r="H16" i="1"/>
  <c r="P25" i="11"/>
  <c r="H23" i="1"/>
  <c r="N23" i="1"/>
  <c r="P22" i="11"/>
  <c r="H15" i="1"/>
  <c r="N15" i="1"/>
  <c r="P11" i="11"/>
  <c r="H48" i="1"/>
  <c r="N48" i="1"/>
  <c r="P74" i="11"/>
  <c r="H111" i="1"/>
  <c r="N111" i="1"/>
  <c r="P61" i="11"/>
  <c r="H11" i="1"/>
  <c r="P9" i="11"/>
  <c r="H46" i="1"/>
  <c r="N46" i="1"/>
  <c r="P34" i="11"/>
  <c r="H72" i="1"/>
  <c r="N72" i="1"/>
  <c r="P52" i="11"/>
  <c r="H18" i="1"/>
  <c r="N18" i="1"/>
  <c r="P21" i="11"/>
  <c r="H62" i="1"/>
  <c r="N62" i="1"/>
  <c r="P73" i="11"/>
  <c r="H110" i="1"/>
  <c r="N110" i="1"/>
  <c r="P62" i="11"/>
  <c r="H104" i="1"/>
  <c r="N104" i="1"/>
  <c r="P58" i="11"/>
  <c r="H33" i="1"/>
  <c r="N33" i="1"/>
  <c r="P28" i="11"/>
  <c r="H13" i="1"/>
  <c r="N13" i="1"/>
  <c r="P68" i="11"/>
  <c r="H55" i="1"/>
  <c r="N55" i="1"/>
  <c r="P54" i="11"/>
  <c r="H34" i="1"/>
  <c r="N34" i="1"/>
  <c r="P35" i="11"/>
  <c r="H73" i="1"/>
  <c r="N73" i="1"/>
  <c r="P26" i="11"/>
  <c r="H36" i="1"/>
  <c r="N36" i="1"/>
  <c r="P63" i="11"/>
  <c r="H105" i="1"/>
  <c r="N105" i="1"/>
  <c r="P38" i="11"/>
  <c r="H77" i="1"/>
  <c r="N77" i="1"/>
  <c r="P41" i="11"/>
  <c r="H7" i="1"/>
  <c r="P64" i="11"/>
  <c r="H67" i="1"/>
  <c r="N67" i="1"/>
  <c r="P45" i="11"/>
  <c r="H82" i="1"/>
  <c r="N82" i="1"/>
  <c r="P42" i="11"/>
  <c r="H79" i="1"/>
  <c r="N79" i="1"/>
  <c r="N9" i="1"/>
  <c r="N32" i="1"/>
  <c r="P30" i="11"/>
  <c r="H66" i="1"/>
  <c r="N66" i="1"/>
  <c r="P19" i="11"/>
  <c r="H6" i="1"/>
  <c r="N6" i="1"/>
  <c r="P18" i="11"/>
  <c r="H57" i="1"/>
  <c r="N57" i="1"/>
  <c r="P13" i="11"/>
  <c r="H51" i="1"/>
  <c r="N51" i="1"/>
  <c r="P10" i="11"/>
  <c r="H47" i="1"/>
  <c r="N47" i="1"/>
  <c r="P66" i="11"/>
  <c r="H106" i="1"/>
  <c r="N106" i="1"/>
  <c r="P23" i="11"/>
  <c r="H63" i="1"/>
  <c r="N63" i="1"/>
  <c r="P55" i="11"/>
  <c r="H95" i="1"/>
  <c r="N95" i="1"/>
  <c r="P39" i="11"/>
  <c r="H30" i="1"/>
  <c r="N30" i="1"/>
  <c r="P29" i="11"/>
  <c r="H5" i="1"/>
  <c r="N5" i="1"/>
  <c r="P69" i="11"/>
  <c r="H28" i="1"/>
  <c r="N28" i="1"/>
  <c r="P59" i="11"/>
  <c r="H99" i="1"/>
  <c r="N99" i="1"/>
  <c r="P50" i="11"/>
  <c r="H54" i="1"/>
  <c r="N54" i="1"/>
  <c r="P15" i="11"/>
  <c r="H19" i="1"/>
  <c r="N19" i="1"/>
  <c r="P49" i="11"/>
  <c r="H88" i="1"/>
  <c r="N88" i="1"/>
  <c r="H66" i="11"/>
  <c r="H32" i="11"/>
  <c r="H6" i="11"/>
  <c r="O58" i="11"/>
  <c r="H74" i="11"/>
  <c r="H72" i="11"/>
  <c r="H70" i="11"/>
  <c r="H67" i="11"/>
  <c r="H63" i="11"/>
  <c r="H61" i="11"/>
  <c r="H59" i="11"/>
  <c r="H55" i="11"/>
  <c r="H53" i="11"/>
  <c r="H52" i="11"/>
  <c r="H51" i="11"/>
  <c r="H50" i="11"/>
  <c r="H47" i="11"/>
  <c r="H46" i="11"/>
  <c r="H43" i="11"/>
  <c r="H41" i="11"/>
  <c r="H40" i="11"/>
  <c r="H39" i="11"/>
  <c r="H38" i="11"/>
  <c r="H36" i="11"/>
  <c r="H34" i="11"/>
  <c r="H33" i="11"/>
  <c r="H27" i="11"/>
  <c r="H25" i="11"/>
  <c r="H24" i="11"/>
  <c r="H22" i="11"/>
  <c r="H20" i="11"/>
  <c r="H17" i="11"/>
  <c r="H16" i="11"/>
  <c r="H15" i="11"/>
  <c r="H12" i="11"/>
  <c r="H9" i="11"/>
  <c r="H7" i="11"/>
  <c r="H5" i="11"/>
  <c r="H73" i="11"/>
  <c r="H71" i="11"/>
  <c r="H69" i="11"/>
  <c r="H68" i="11"/>
  <c r="H65" i="11"/>
  <c r="H64" i="11"/>
  <c r="H62" i="11"/>
  <c r="H60" i="11"/>
  <c r="H58" i="11"/>
  <c r="H56" i="11"/>
  <c r="H57" i="11"/>
  <c r="H54" i="11"/>
  <c r="H49" i="11"/>
  <c r="H48" i="11"/>
  <c r="H45" i="11"/>
  <c r="H44" i="11"/>
  <c r="H42" i="11"/>
  <c r="H37" i="11"/>
  <c r="H35" i="11"/>
  <c r="H31" i="11"/>
  <c r="H30" i="11"/>
  <c r="H29" i="11"/>
  <c r="H28" i="11"/>
  <c r="H26" i="11"/>
  <c r="H23" i="11"/>
  <c r="H21" i="11"/>
  <c r="H19" i="11"/>
  <c r="H18" i="11"/>
  <c r="H14" i="11"/>
  <c r="H13" i="11"/>
  <c r="H11" i="11"/>
  <c r="H10" i="11"/>
  <c r="H8" i="11"/>
  <c r="O59" i="11"/>
  <c r="O63" i="11"/>
  <c r="O49" i="11"/>
  <c r="O38" i="11"/>
  <c r="O12" i="11"/>
  <c r="O48" i="11"/>
  <c r="O27" i="11"/>
  <c r="O11" i="11"/>
  <c r="O66" i="11"/>
  <c r="O70" i="11"/>
  <c r="O65" i="11"/>
  <c r="O30" i="11"/>
  <c r="O29" i="11"/>
  <c r="O50" i="11"/>
  <c r="O46" i="11"/>
  <c r="O15" i="11"/>
  <c r="O52" i="11"/>
  <c r="O47" i="11"/>
  <c r="O69" i="11"/>
  <c r="O37" i="11"/>
  <c r="O26" i="11"/>
  <c r="O62" i="11"/>
  <c r="O53" i="11"/>
  <c r="O21" i="11"/>
  <c r="O10" i="11"/>
  <c r="O34" i="11"/>
  <c r="O36" i="11"/>
  <c r="O77" i="11"/>
  <c r="O25" i="11"/>
  <c r="O64" i="11"/>
  <c r="O5" i="11"/>
  <c r="O31" i="11"/>
  <c r="O55" i="11"/>
  <c r="O45" i="11"/>
  <c r="O28" i="11"/>
  <c r="O60" i="11"/>
  <c r="O76" i="11"/>
  <c r="O20" i="11"/>
  <c r="O13" i="11"/>
  <c r="O68" i="11"/>
  <c r="O33" i="11"/>
  <c r="O42" i="11"/>
  <c r="O67" i="11"/>
  <c r="O51" i="11"/>
  <c r="O44" i="11"/>
  <c r="O61" i="11"/>
  <c r="O57" i="11"/>
  <c r="O24" i="11"/>
  <c r="O35" i="11"/>
  <c r="O56" i="11"/>
  <c r="O41" i="11"/>
  <c r="O23" i="11"/>
  <c r="O7" i="11"/>
  <c r="O43" i="11"/>
  <c r="O19" i="11"/>
  <c r="O39" i="11"/>
  <c r="O14" i="11"/>
  <c r="O9" i="11"/>
  <c r="O18" i="11"/>
  <c r="O54" i="11"/>
  <c r="O6" i="11"/>
  <c r="O8" i="11"/>
  <c r="O17" i="11"/>
  <c r="O16" i="11"/>
  <c r="O22" i="11"/>
  <c r="G16" i="1"/>
  <c r="N16" i="1"/>
  <c r="G31" i="1"/>
  <c r="N31" i="1"/>
  <c r="G45" i="1"/>
  <c r="N45" i="1"/>
  <c r="G42" i="1"/>
  <c r="N42" i="1"/>
  <c r="G11" i="1"/>
  <c r="N11" i="1"/>
  <c r="G14" i="1"/>
  <c r="N14" i="1"/>
  <c r="G17" i="1"/>
  <c r="N17" i="1"/>
  <c r="G7" i="1"/>
  <c r="N7" i="1"/>
  <c r="G71" i="1"/>
  <c r="N71" i="1"/>
  <c r="G24" i="1"/>
  <c r="N24" i="1"/>
  <c r="G8" i="1"/>
  <c r="N8" i="1"/>
  <c r="I10" i="2"/>
  <c r="I12" i="2"/>
  <c r="I14" i="2"/>
  <c r="I5" i="2"/>
  <c r="I13" i="2"/>
  <c r="I11" i="2"/>
  <c r="I7" i="2"/>
  <c r="I8" i="2"/>
  <c r="I6" i="2"/>
  <c r="I9" i="2"/>
  <c r="V83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O50" i="1"/>
  <c r="O46" i="1"/>
  <c r="O47" i="1"/>
  <c r="O48" i="1"/>
  <c r="O55" i="1"/>
  <c r="O33" i="1"/>
  <c r="O53" i="1"/>
  <c r="O65" i="1"/>
  <c r="O49" i="1"/>
  <c r="O20" i="1"/>
  <c r="O83" i="1"/>
  <c r="O23" i="1"/>
  <c r="O67" i="1"/>
  <c r="O62" i="1"/>
  <c r="O21" i="1"/>
  <c r="O31" i="1"/>
  <c r="O27" i="1"/>
  <c r="O38" i="1"/>
  <c r="O45" i="1"/>
  <c r="O24" i="1"/>
  <c r="O71" i="1"/>
  <c r="O43" i="1"/>
  <c r="O57" i="1"/>
  <c r="O59" i="1"/>
  <c r="O74" i="1"/>
  <c r="O41" i="1"/>
  <c r="O56" i="1"/>
  <c r="O61" i="1"/>
  <c r="O66" i="1"/>
  <c r="O34" i="1"/>
  <c r="O58" i="1"/>
  <c r="O35" i="1"/>
  <c r="O25" i="1"/>
  <c r="O73" i="1"/>
  <c r="O42" i="1"/>
  <c r="O69" i="1"/>
  <c r="O39" i="1"/>
  <c r="O80" i="1"/>
  <c r="O78" i="1"/>
  <c r="O76" i="1"/>
  <c r="O63" i="1"/>
  <c r="O68" i="1"/>
  <c r="O72" i="1"/>
  <c r="O75" i="1"/>
  <c r="O52" i="1"/>
  <c r="O32" i="1"/>
  <c r="O36" i="1"/>
  <c r="O79" i="1"/>
  <c r="O44" i="1"/>
  <c r="O60" i="1"/>
  <c r="O77" i="1"/>
  <c r="O64" i="1"/>
  <c r="O54" i="1"/>
  <c r="O28" i="1"/>
  <c r="O40" i="1"/>
  <c r="O22" i="1"/>
  <c r="O70" i="1"/>
  <c r="O26" i="1"/>
  <c r="O51" i="1"/>
  <c r="O29" i="1"/>
  <c r="O30" i="1"/>
  <c r="O37" i="1"/>
  <c r="V16" i="1"/>
  <c r="O16" i="1"/>
  <c r="V12" i="1"/>
  <c r="O12" i="1"/>
  <c r="V10" i="1"/>
  <c r="O10" i="1"/>
  <c r="V19" i="1"/>
  <c r="O19" i="1"/>
  <c r="V18" i="1"/>
  <c r="O18" i="1"/>
  <c r="V17" i="1"/>
  <c r="O17" i="1"/>
  <c r="V15" i="1"/>
  <c r="V14" i="1"/>
  <c r="O14" i="1"/>
  <c r="V13" i="1"/>
  <c r="V5" i="1"/>
  <c r="O5" i="1"/>
  <c r="V11" i="1"/>
  <c r="O11" i="1"/>
  <c r="V8" i="1"/>
  <c r="O8" i="1"/>
  <c r="V9" i="1"/>
  <c r="V7" i="1"/>
  <c r="O7" i="1"/>
  <c r="V6" i="1"/>
  <c r="O6" i="1"/>
  <c r="O15" i="1"/>
  <c r="O81" i="1"/>
  <c r="O9" i="1"/>
  <c r="O13" i="1"/>
  <c r="J14" i="3"/>
  <c r="K14" i="3"/>
  <c r="J13" i="3"/>
  <c r="K13" i="3"/>
  <c r="J21" i="3"/>
  <c r="K21" i="3"/>
  <c r="J22" i="3"/>
  <c r="K22" i="3"/>
  <c r="J7" i="3"/>
  <c r="K7" i="3"/>
  <c r="J9" i="3"/>
  <c r="K9" i="3"/>
  <c r="J20" i="3"/>
  <c r="K20" i="3"/>
  <c r="J11" i="3"/>
  <c r="K11" i="3"/>
  <c r="J16" i="3"/>
  <c r="K16" i="3"/>
  <c r="J18" i="3"/>
  <c r="K18" i="3"/>
  <c r="J12" i="3"/>
  <c r="K12" i="3"/>
  <c r="J15" i="3"/>
  <c r="K15" i="3"/>
  <c r="J10" i="3"/>
  <c r="K10" i="3"/>
  <c r="J8" i="3"/>
  <c r="K8" i="3"/>
  <c r="J19" i="3"/>
  <c r="K19" i="3"/>
  <c r="J5" i="3"/>
  <c r="K5" i="3"/>
  <c r="J17" i="3"/>
  <c r="K17" i="3"/>
  <c r="J6" i="3"/>
  <c r="K6" i="3"/>
</calcChain>
</file>

<file path=xl/sharedStrings.xml><?xml version="1.0" encoding="utf-8"?>
<sst xmlns="http://schemas.openxmlformats.org/spreadsheetml/2006/main" count="1338" uniqueCount="413">
  <si>
    <t>Plac</t>
  </si>
  <si>
    <t>Båttyp</t>
  </si>
  <si>
    <t>Sglnr</t>
  </si>
  <si>
    <t>Båtnamn</t>
  </si>
  <si>
    <t>Rorsman</t>
  </si>
  <si>
    <t>Klubb</t>
  </si>
  <si>
    <t>StoraO</t>
  </si>
  <si>
    <t>PaterN</t>
  </si>
  <si>
    <t>MBBR</t>
  </si>
  <si>
    <t>HermÖ</t>
  </si>
  <si>
    <t>TjörnR</t>
  </si>
  <si>
    <t>SistaC</t>
  </si>
  <si>
    <t>Poäng</t>
  </si>
  <si>
    <t>Stora Oset Race</t>
  </si>
  <si>
    <t>Pater Noster Race</t>
  </si>
  <si>
    <t>Marstrand Big Boat Race</t>
  </si>
  <si>
    <t>Tjörn Runt</t>
  </si>
  <si>
    <t>Sista Chansen</t>
  </si>
  <si>
    <t>Hermanö Runt</t>
  </si>
  <si>
    <t>Sammanställning</t>
  </si>
  <si>
    <t>SRS</t>
  </si>
  <si>
    <t>Starttid</t>
  </si>
  <si>
    <t>Måltid</t>
  </si>
  <si>
    <t>Segladtid</t>
  </si>
  <si>
    <t>Korr. tid</t>
  </si>
  <si>
    <t>BKSS</t>
  </si>
  <si>
    <t>GKSS</t>
  </si>
  <si>
    <t>STELLA</t>
  </si>
  <si>
    <t>Stefan Möller</t>
  </si>
  <si>
    <t>X-332</t>
  </si>
  <si>
    <t>X3M</t>
  </si>
  <si>
    <t>Bertil Rohlén</t>
  </si>
  <si>
    <t>1:a</t>
  </si>
  <si>
    <t>2:a</t>
  </si>
  <si>
    <t>Total</t>
  </si>
  <si>
    <t>SwedeStar 370</t>
  </si>
  <si>
    <t xml:space="preserve">KMS  </t>
  </si>
  <si>
    <t>Archambault 35</t>
  </si>
  <si>
    <t>Jigy Jigy</t>
  </si>
  <si>
    <t>GQSS</t>
  </si>
  <si>
    <t>FinnFlyer 36</t>
  </si>
  <si>
    <t>Zlatan</t>
  </si>
  <si>
    <t>Lars Wikander</t>
  </si>
  <si>
    <t>IMX 40</t>
  </si>
  <si>
    <t>Hans Ristner</t>
  </si>
  <si>
    <t>Gertrud</t>
  </si>
  <si>
    <t xml:space="preserve">Göteborg Open Sea Race </t>
  </si>
  <si>
    <t>GOSR</t>
  </si>
  <si>
    <t>Not</t>
  </si>
  <si>
    <t>Westside Cup 2018</t>
  </si>
  <si>
    <t>Carina Sjölander</t>
  </si>
  <si>
    <t>X-99</t>
  </si>
  <si>
    <t>Xstream</t>
  </si>
  <si>
    <t>Anders Källström</t>
  </si>
  <si>
    <t>J/88</t>
  </si>
  <si>
    <t>7988R</t>
  </si>
  <si>
    <t>J88.se</t>
  </si>
  <si>
    <t>Jonas Dyberg</t>
  </si>
  <si>
    <t>XSS</t>
  </si>
  <si>
    <t>Archambault Grand Suorise</t>
  </si>
  <si>
    <t>Rebellion</t>
  </si>
  <si>
    <t>Carl Fjällman</t>
  </si>
  <si>
    <t>HJBK</t>
  </si>
  <si>
    <t>Dehler 35</t>
  </si>
  <si>
    <t>Mats Andersson</t>
  </si>
  <si>
    <t>Aurora</t>
  </si>
  <si>
    <t>STSS</t>
  </si>
  <si>
    <t>Salona 33</t>
  </si>
  <si>
    <t>Kaida</t>
  </si>
  <si>
    <t>Johan Wetterlundh</t>
  </si>
  <si>
    <t>DNF</t>
  </si>
  <si>
    <t>XP33</t>
  </si>
  <si>
    <t>Abena</t>
  </si>
  <si>
    <t>SSWL</t>
  </si>
  <si>
    <t>Finnflyer 36</t>
  </si>
  <si>
    <t>Farr 30</t>
  </si>
  <si>
    <t>Landmark 43</t>
  </si>
  <si>
    <t>Santa</t>
  </si>
  <si>
    <t>Claus Landmark</t>
  </si>
  <si>
    <t>Cheyenne</t>
  </si>
  <si>
    <t>Anders Helmrich</t>
  </si>
  <si>
    <t>SSA</t>
  </si>
  <si>
    <t>Sirena</t>
  </si>
  <si>
    <t>Peter Buhl</t>
  </si>
  <si>
    <t>Arcona 380</t>
  </si>
  <si>
    <t>Ikigai</t>
  </si>
  <si>
    <t>Magnus Lundgren</t>
  </si>
  <si>
    <t>Per Ottar Skaaret</t>
  </si>
  <si>
    <t>Letto di Pletto</t>
  </si>
  <si>
    <t>Jörgen Preuss</t>
  </si>
  <si>
    <t>Regina 2.0</t>
  </si>
  <si>
    <t>Jacob Wallenberg</t>
  </si>
  <si>
    <t>Fareast 28r</t>
  </si>
  <si>
    <t>Farrgo</t>
  </si>
  <si>
    <t>Bavaria 38 Match</t>
  </si>
  <si>
    <t>Draklunne</t>
  </si>
  <si>
    <t>Mattias Wilson</t>
  </si>
  <si>
    <t>Geisha</t>
  </si>
  <si>
    <t>Björn Rosengren</t>
  </si>
  <si>
    <t>White Shadow</t>
  </si>
  <si>
    <t>Torkjel Valland</t>
  </si>
  <si>
    <t>BSF</t>
  </si>
  <si>
    <t xml:space="preserve">X-35 </t>
  </si>
  <si>
    <t>Hang Loose</t>
  </si>
  <si>
    <t>Magnus Ekborm</t>
  </si>
  <si>
    <t>X-35</t>
  </si>
  <si>
    <t>Xarabi</t>
  </si>
  <si>
    <t>Amund Hösöien</t>
  </si>
  <si>
    <t>J/111</t>
  </si>
  <si>
    <t>BLUR</t>
  </si>
  <si>
    <t>Peter Gustafsson</t>
  </si>
  <si>
    <t>CCYC</t>
  </si>
  <si>
    <t>First 35</t>
  </si>
  <si>
    <t>Nausicaa</t>
  </si>
  <si>
    <t>Carl Turén</t>
  </si>
  <si>
    <t>Vortex</t>
  </si>
  <si>
    <t>Martin Moe</t>
  </si>
  <si>
    <t>KNS/RNYC</t>
  </si>
  <si>
    <t>X-41</t>
  </si>
  <si>
    <t>Kwanza</t>
  </si>
  <si>
    <t>Sten Haeger</t>
  </si>
  <si>
    <t>Mannerberg 38</t>
  </si>
  <si>
    <t>Pila</t>
  </si>
  <si>
    <t>Mattias Ekvall</t>
  </si>
  <si>
    <t>BJK</t>
  </si>
  <si>
    <t>Swan 45</t>
  </si>
  <si>
    <t>Coquette IV</t>
  </si>
  <si>
    <t>Anders Kuikku</t>
  </si>
  <si>
    <t>KKKK</t>
  </si>
  <si>
    <t>Destin</t>
  </si>
  <si>
    <t>Tore Kandahl</t>
  </si>
  <si>
    <t>ASF</t>
  </si>
  <si>
    <t>Stephan Berntsson</t>
  </si>
  <si>
    <t>TJSS</t>
  </si>
  <si>
    <t>Dominant 105</t>
  </si>
  <si>
    <t>Lady Godiva</t>
  </si>
  <si>
    <t>Anders Dahlsjö</t>
  </si>
  <si>
    <t>LBS</t>
  </si>
  <si>
    <t>Farrari</t>
  </si>
  <si>
    <t>Lars Aarum</t>
  </si>
  <si>
    <t>XP44</t>
  </si>
  <si>
    <t>Quinta</t>
  </si>
  <si>
    <t>X-372</t>
  </si>
  <si>
    <t>MariusX</t>
  </si>
  <si>
    <t>Charles Jobson</t>
  </si>
  <si>
    <t>First 36,7</t>
  </si>
  <si>
    <t>Surfer Girl</t>
  </si>
  <si>
    <t>Tomas Wängberg</t>
  </si>
  <si>
    <t>First 40</t>
  </si>
  <si>
    <t>Karukera</t>
  </si>
  <si>
    <t>Ola Sandell</t>
  </si>
  <si>
    <t>CSS</t>
  </si>
  <si>
    <t>JOLIE</t>
  </si>
  <si>
    <t>Markus Svensson</t>
  </si>
  <si>
    <t>Knut G Heje</t>
  </si>
  <si>
    <t>KNS</t>
  </si>
  <si>
    <t>Dacapo</t>
  </si>
  <si>
    <t>Jörgen G Heje</t>
  </si>
  <si>
    <t>Felix Streckenbach</t>
  </si>
  <si>
    <t>XP38</t>
  </si>
  <si>
    <t>BlueS</t>
  </si>
  <si>
    <t>Hans Johansson</t>
  </si>
  <si>
    <t>One-Off</t>
  </si>
  <si>
    <t>Progressive</t>
  </si>
  <si>
    <t>Edin Roger</t>
  </si>
  <si>
    <t>VASS</t>
  </si>
  <si>
    <t>Röde Orm</t>
  </si>
  <si>
    <t>Göran Wiking</t>
  </si>
  <si>
    <t>Sun Fast 3600</t>
  </si>
  <si>
    <t>La Primera</t>
  </si>
  <si>
    <t>Peter Lundgren</t>
  </si>
  <si>
    <t>Raccoon</t>
  </si>
  <si>
    <t>Lars Niklasson</t>
  </si>
  <si>
    <t>SSVÄ</t>
  </si>
  <si>
    <t>Yolo</t>
  </si>
  <si>
    <t>Jan Ågren</t>
  </si>
  <si>
    <t>DBS</t>
  </si>
  <si>
    <t>Dehler 36SQ</t>
  </si>
  <si>
    <t>Esquire</t>
  </si>
  <si>
    <t>Krister Ahlqvist</t>
  </si>
  <si>
    <t>DNC</t>
  </si>
  <si>
    <t>Sinergia 40</t>
  </si>
  <si>
    <t>15666</t>
  </si>
  <si>
    <t>Sons of Hurricanes</t>
  </si>
  <si>
    <t>Jon Sverre Höiden</t>
  </si>
  <si>
    <t>Melges 32 mod</t>
  </si>
  <si>
    <t>Old Jug by Imagine</t>
  </si>
  <si>
    <t>HEAT</t>
  </si>
  <si>
    <t>Max Augustin</t>
  </si>
  <si>
    <t>Italia 9.98</t>
  </si>
  <si>
    <t>IMMAC</t>
  </si>
  <si>
    <t>Kai Mares</t>
  </si>
  <si>
    <t>39</t>
  </si>
  <si>
    <t>Firefly</t>
  </si>
  <si>
    <t>Johan Lindell</t>
  </si>
  <si>
    <t>First 36,7 mod</t>
  </si>
  <si>
    <t>Team Pro4u</t>
  </si>
  <si>
    <t>Patrik Forsgren</t>
  </si>
  <si>
    <t>Onecomer</t>
  </si>
  <si>
    <t>Göran Frick</t>
  </si>
  <si>
    <t>Mrs Freckles</t>
  </si>
  <si>
    <t>Lena Having</t>
  </si>
  <si>
    <t>Arcona 340</t>
  </si>
  <si>
    <t>Vanadis</t>
  </si>
  <si>
    <t>Gunnar Höglind</t>
  </si>
  <si>
    <t>77</t>
  </si>
  <si>
    <t>Blade II</t>
  </si>
  <si>
    <t>Mats Berntsson</t>
  </si>
  <si>
    <t>Xtreme</t>
  </si>
  <si>
    <t>Anders Nilsson</t>
  </si>
  <si>
    <t>Zigge First</t>
  </si>
  <si>
    <t>Claes Hellström</t>
  </si>
  <si>
    <t>Xcentric</t>
  </si>
  <si>
    <t>Hans Jansson</t>
  </si>
  <si>
    <t>Pakalolo II</t>
  </si>
  <si>
    <t>Olof Christensen</t>
  </si>
  <si>
    <t>Elusive</t>
  </si>
  <si>
    <t>Krister Gustavsson</t>
  </si>
  <si>
    <t>Akhillevs-X</t>
  </si>
  <si>
    <t>Yngve Amundsen</t>
  </si>
  <si>
    <t>MolaMola</t>
  </si>
  <si>
    <t>Fredrik Frejme</t>
  </si>
  <si>
    <t>21</t>
  </si>
  <si>
    <t>Baracole Op IV</t>
  </si>
  <si>
    <t>Björn Wadholm</t>
  </si>
  <si>
    <t>HH42</t>
  </si>
  <si>
    <t>Raa Glede</t>
  </si>
  <si>
    <t>Christen With</t>
  </si>
  <si>
    <t>Tarok 7</t>
  </si>
  <si>
    <t>Eric Berth</t>
  </si>
  <si>
    <t>Soldier Blue</t>
  </si>
  <si>
    <t>Lars Ive</t>
  </si>
  <si>
    <t>Swan 42 CS</t>
  </si>
  <si>
    <t>Mat 1180</t>
  </si>
  <si>
    <t>DataCom</t>
  </si>
  <si>
    <t>Robert Carenfelt</t>
  </si>
  <si>
    <t>Anders Bagason</t>
  </si>
  <si>
    <t>GS42 Race</t>
  </si>
  <si>
    <t>GEP Cmmunications Group</t>
  </si>
  <si>
    <t>Lasse Berkvist</t>
  </si>
  <si>
    <t>6869</t>
  </si>
  <si>
    <t>Nexus</t>
  </si>
  <si>
    <t>Sören Nielsen</t>
  </si>
  <si>
    <t>Akka</t>
  </si>
  <si>
    <t>Anke Scheuermann</t>
  </si>
  <si>
    <t>Elan 380</t>
  </si>
  <si>
    <t>Anya</t>
  </si>
  <si>
    <t>Lars-Gunnar Gydemo</t>
  </si>
  <si>
    <t>King 40</t>
  </si>
  <si>
    <t>Magic</t>
  </si>
  <si>
    <t>Aasmund Drolsum</t>
  </si>
  <si>
    <t>Elliot 44 CR</t>
  </si>
  <si>
    <t>Matador</t>
  </si>
  <si>
    <t>Jonas Grandér</t>
  </si>
  <si>
    <t>Club Swan 50</t>
  </si>
  <si>
    <t>14700</t>
  </si>
  <si>
    <t>Too Bonita</t>
  </si>
  <si>
    <t>40</t>
  </si>
  <si>
    <t>Gottix</t>
  </si>
  <si>
    <t>Gustav Gotteberg</t>
  </si>
  <si>
    <t>Veronix</t>
  </si>
  <si>
    <t>IMX45</t>
  </si>
  <si>
    <t>Matchless 2</t>
  </si>
  <si>
    <t>Jon Ramm-Pettersen</t>
  </si>
  <si>
    <t>X-50</t>
  </si>
  <si>
    <t>Jokerman</t>
  </si>
  <si>
    <t>Olle Langenius</t>
  </si>
  <si>
    <t>Westeros</t>
  </si>
  <si>
    <t>Melges 24</t>
  </si>
  <si>
    <t>MAGDA</t>
  </si>
  <si>
    <t>Fredrik Ekbrand</t>
  </si>
  <si>
    <t>KMS</t>
  </si>
  <si>
    <t>Gambler 38</t>
  </si>
  <si>
    <t>10533</t>
  </si>
  <si>
    <t>Cheetah</t>
  </si>
  <si>
    <t>Evan Thorsson</t>
  </si>
  <si>
    <t>Le Veuve Noire</t>
  </si>
  <si>
    <t>Pär Larsson</t>
  </si>
  <si>
    <t>GAST</t>
  </si>
  <si>
    <t>Dehler 34 SV</t>
  </si>
  <si>
    <t>Flow</t>
  </si>
  <si>
    <t>Peter Nohlin</t>
  </si>
  <si>
    <t>Roger Ahlqvist</t>
  </si>
  <si>
    <t>X-37</t>
  </si>
  <si>
    <t>XBOX</t>
  </si>
  <si>
    <t>Jörgen Knutsson</t>
  </si>
  <si>
    <t>LDSS</t>
  </si>
  <si>
    <t>104</t>
  </si>
  <si>
    <t>Xenie</t>
  </si>
  <si>
    <t>Håkan Larsson</t>
  </si>
  <si>
    <t>Peter Labecker</t>
  </si>
  <si>
    <t>92</t>
  </si>
  <si>
    <t>eXile</t>
  </si>
  <si>
    <t>Fredric Nilsson</t>
  </si>
  <si>
    <t>259</t>
  </si>
  <si>
    <t>NN</t>
  </si>
  <si>
    <t>Tommy Stenborg</t>
  </si>
  <si>
    <t>OCS</t>
  </si>
  <si>
    <t>Sjölander/Ahlqvist</t>
  </si>
  <si>
    <t>Per Algotsson</t>
  </si>
  <si>
    <t>11131</t>
  </si>
  <si>
    <t>La primera</t>
  </si>
  <si>
    <t>Ulrik Svensson</t>
  </si>
  <si>
    <t>KSK</t>
  </si>
  <si>
    <t>Mikael Vesala</t>
  </si>
  <si>
    <t>Tarac 33</t>
  </si>
  <si>
    <t>Janne Ågren</t>
  </si>
  <si>
    <t>HP 1030</t>
  </si>
  <si>
    <t>HALVÄLVA</t>
  </si>
  <si>
    <t>Hans Pettersson</t>
  </si>
  <si>
    <t>GYC</t>
  </si>
  <si>
    <t>First 40,7</t>
  </si>
  <si>
    <t>Obelix</t>
  </si>
  <si>
    <t>Jörgen Rangenstedt</t>
  </si>
  <si>
    <t>Thomas Dahl</t>
  </si>
  <si>
    <t>Jonas Liljeström</t>
  </si>
  <si>
    <t>Silvia</t>
  </si>
  <si>
    <t>Alltiett 35</t>
  </si>
  <si>
    <t>ARSS</t>
  </si>
  <si>
    <t>Carin Sjölander</t>
  </si>
  <si>
    <t>11 metre one design</t>
  </si>
  <si>
    <t>Jonas Gabrielsson</t>
  </si>
  <si>
    <t>Cheetah 30</t>
  </si>
  <si>
    <t>329</t>
  </si>
  <si>
    <t>MBF</t>
  </si>
  <si>
    <t>Magnus Torell</t>
  </si>
  <si>
    <t>Patrik Andersson</t>
  </si>
  <si>
    <t>Luffe 37</t>
  </si>
  <si>
    <t>126</t>
  </si>
  <si>
    <t>Martin Tommysson</t>
  </si>
  <si>
    <t>OCS +5%</t>
  </si>
  <si>
    <t>LSS</t>
  </si>
  <si>
    <t>Easy Decision</t>
  </si>
  <si>
    <t>SMV</t>
  </si>
  <si>
    <t>VÄSS</t>
  </si>
  <si>
    <t>Pink Lady</t>
  </si>
  <si>
    <t>10:03:34</t>
  </si>
  <si>
    <t>10:42:01</t>
  </si>
  <si>
    <t>09:49:39</t>
  </si>
  <si>
    <t>09:52:25</t>
  </si>
  <si>
    <t>10:27:02</t>
  </si>
  <si>
    <t>10:23:02</t>
  </si>
  <si>
    <t>08:12:24</t>
  </si>
  <si>
    <t xml:space="preserve">First 40 </t>
  </si>
  <si>
    <t>CRSS</t>
  </si>
  <si>
    <t>Flash V</t>
  </si>
  <si>
    <t>Erik Krister</t>
  </si>
  <si>
    <t>SFSF</t>
  </si>
  <si>
    <t>LSSG</t>
  </si>
  <si>
    <t>X-372 masthead</t>
  </si>
  <si>
    <t>J/92 S</t>
  </si>
  <si>
    <t>Ninja</t>
  </si>
  <si>
    <t>Peter Amundin</t>
  </si>
  <si>
    <t>KDSS</t>
  </si>
  <si>
    <t>Salona 33 P</t>
  </si>
  <si>
    <t>GERTRUD</t>
  </si>
  <si>
    <t>Vitesse</t>
  </si>
  <si>
    <t>Dehler 38</t>
  </si>
  <si>
    <t>Dehlight</t>
  </si>
  <si>
    <t>Robert Trolled</t>
  </si>
  <si>
    <t>Solaris 37</t>
  </si>
  <si>
    <t>Skylark</t>
  </si>
  <si>
    <t>Öystein Haslum</t>
  </si>
  <si>
    <t>Dufore 36 P</t>
  </si>
  <si>
    <t>swetre</t>
  </si>
  <si>
    <t>Tord Björkqvist</t>
  </si>
  <si>
    <t>Mafia</t>
  </si>
  <si>
    <t>Morten Jensen</t>
  </si>
  <si>
    <t>Fredrikshavn SK</t>
  </si>
  <si>
    <t>X-40</t>
  </si>
  <si>
    <t>Carl Robert Hansson</t>
  </si>
  <si>
    <t>Tolama</t>
  </si>
  <si>
    <t>Asbjorn Näss</t>
  </si>
  <si>
    <t>LSF</t>
  </si>
  <si>
    <t>August Pansell</t>
  </si>
  <si>
    <t>HASS</t>
  </si>
  <si>
    <t>X-382</t>
  </si>
  <si>
    <t>Erik Brekke</t>
  </si>
  <si>
    <t>TFS</t>
  </si>
  <si>
    <t>SSSÖ</t>
  </si>
  <si>
    <t>Svante Arvidsson</t>
  </si>
  <si>
    <t>Bavaria 35 Match</t>
  </si>
  <si>
    <t>Bo Axelsson</t>
  </si>
  <si>
    <t>Grand Soleil 37</t>
  </si>
  <si>
    <t>Mikael Leinsköld</t>
  </si>
  <si>
    <t>HOSS</t>
  </si>
  <si>
    <t>Anders Hultman</t>
  </si>
  <si>
    <t>Arcona 370</t>
  </si>
  <si>
    <t>Carl-Johan Holmberg</t>
  </si>
  <si>
    <t>Christer Sörvik</t>
  </si>
  <si>
    <t>Anders Johansson</t>
  </si>
  <si>
    <t>Ola Langenius</t>
  </si>
  <si>
    <t>Hans Christian Holst</t>
  </si>
  <si>
    <t>Per Junke</t>
  </si>
  <si>
    <t>BåSS</t>
  </si>
  <si>
    <t>Dehler 33 Cr</t>
  </si>
  <si>
    <t>Pelle Svanbeck</t>
  </si>
  <si>
    <t>Marius Andersen</t>
  </si>
  <si>
    <t>Anemon II</t>
  </si>
  <si>
    <t>Felicia IV</t>
  </si>
  <si>
    <t>SEVEN</t>
  </si>
  <si>
    <t>Grey</t>
  </si>
  <si>
    <t>Let`s Rock</t>
  </si>
  <si>
    <t>Grace</t>
  </si>
  <si>
    <t>Ingrid af Råå</t>
  </si>
  <si>
    <t>Thea</t>
  </si>
  <si>
    <t>Spelbinder</t>
  </si>
  <si>
    <t>Xanda</t>
  </si>
  <si>
    <t>Layline Partners</t>
  </si>
  <si>
    <t>Elexir</t>
  </si>
  <si>
    <t>MATCHLESS</t>
  </si>
  <si>
    <t>Norix</t>
  </si>
  <si>
    <t xml:space="preserve"> Dahl/Arvidsson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</si>
</sst>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hh:mm:ss;@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0" fontId="0" fillId="3" borderId="3" xfId="0" applyFont="1" applyFill="1" applyBorder="1"/>
    <xf numFmtId="0" fontId="0" fillId="0" borderId="0" xfId="0" applyFont="1"/>
    <xf numFmtId="0" fontId="0" fillId="0" borderId="0" xfId="0" applyFont="1" applyBorder="1"/>
    <xf numFmtId="0" fontId="0" fillId="3" borderId="2" xfId="0" applyFont="1" applyFill="1" applyBorder="1"/>
    <xf numFmtId="0" fontId="0" fillId="3" borderId="5" xfId="0" applyFont="1" applyFill="1" applyBorder="1"/>
    <xf numFmtId="0" fontId="2" fillId="2" borderId="6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wrapText="1"/>
    </xf>
    <xf numFmtId="164" fontId="0" fillId="3" borderId="5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0" borderId="0" xfId="0" applyFont="1"/>
    <xf numFmtId="0" fontId="2" fillId="2" borderId="1" xfId="0" applyFont="1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/>
    <xf numFmtId="49" fontId="0" fillId="3" borderId="2" xfId="0" applyNumberFormat="1" applyFont="1" applyFill="1" applyBorder="1"/>
    <xf numFmtId="49" fontId="0" fillId="3" borderId="2" xfId="0" applyNumberFormat="1" applyFont="1" applyFill="1" applyBorder="1" applyAlignment="1">
      <alignment horizontal="right"/>
    </xf>
    <xf numFmtId="0" fontId="4" fillId="3" borderId="5" xfId="0" applyFont="1" applyFill="1" applyBorder="1"/>
    <xf numFmtId="49" fontId="4" fillId="3" borderId="2" xfId="0" applyNumberFormat="1" applyFont="1" applyFill="1" applyBorder="1"/>
    <xf numFmtId="49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center"/>
    </xf>
    <xf numFmtId="0" fontId="2" fillId="0" borderId="0" xfId="0" applyFont="1" applyBorder="1"/>
    <xf numFmtId="0" fontId="4" fillId="3" borderId="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4" fillId="4" borderId="2" xfId="0" applyFont="1" applyFill="1" applyBorder="1" applyAlignment="1">
      <alignment horizontal="left"/>
    </xf>
    <xf numFmtId="164" fontId="4" fillId="4" borderId="2" xfId="0" applyNumberFormat="1" applyFont="1" applyFill="1" applyBorder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11" xfId="0" applyFont="1" applyFill="1" applyBorder="1"/>
    <xf numFmtId="0" fontId="4" fillId="3" borderId="4" xfId="0" applyFont="1" applyFill="1" applyBorder="1"/>
    <xf numFmtId="0" fontId="2" fillId="0" borderId="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right" wrapText="1"/>
    </xf>
    <xf numFmtId="164" fontId="2" fillId="0" borderId="0" xfId="0" applyNumberFormat="1" applyFont="1"/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/>
    <xf numFmtId="164" fontId="4" fillId="4" borderId="14" xfId="0" applyNumberFormat="1" applyFont="1" applyFill="1" applyBorder="1" applyAlignment="1">
      <alignment horizontal="center"/>
    </xf>
    <xf numFmtId="0" fontId="4" fillId="3" borderId="14" xfId="0" applyFont="1" applyFill="1" applyBorder="1"/>
    <xf numFmtId="164" fontId="0" fillId="3" borderId="10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0" fillId="3" borderId="8" xfId="0" applyFont="1" applyFill="1" applyBorder="1"/>
    <xf numFmtId="0" fontId="4" fillId="3" borderId="8" xfId="0" applyFont="1" applyFill="1" applyBorder="1" applyAlignment="1">
      <alignment horizontal="right"/>
    </xf>
    <xf numFmtId="164" fontId="3" fillId="3" borderId="10" xfId="0" applyNumberFormat="1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2" fillId="3" borderId="18" xfId="0" applyNumberFormat="1" applyFont="1" applyFill="1" applyBorder="1" applyAlignment="1">
      <alignment horizontal="center"/>
    </xf>
    <xf numFmtId="0" fontId="0" fillId="3" borderId="4" xfId="0" applyFont="1" applyFill="1" applyBorder="1"/>
    <xf numFmtId="164" fontId="4" fillId="3" borderId="10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right"/>
    </xf>
    <xf numFmtId="164" fontId="4" fillId="4" borderId="10" xfId="0" applyNumberFormat="1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 wrapText="1"/>
    </xf>
    <xf numFmtId="164" fontId="2" fillId="0" borderId="0" xfId="0" applyNumberFormat="1" applyFont="1" applyBorder="1"/>
    <xf numFmtId="164" fontId="1" fillId="0" borderId="13" xfId="0" applyNumberFormat="1" applyFont="1" applyBorder="1"/>
    <xf numFmtId="164" fontId="1" fillId="0" borderId="0" xfId="0" applyNumberFormat="1" applyFont="1" applyBorder="1"/>
    <xf numFmtId="0" fontId="1" fillId="2" borderId="6" xfId="0" applyFont="1" applyFill="1" applyBorder="1"/>
    <xf numFmtId="165" fontId="4" fillId="3" borderId="5" xfId="0" applyNumberFormat="1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49" fontId="4" fillId="3" borderId="8" xfId="0" applyNumberFormat="1" applyFont="1" applyFill="1" applyBorder="1" applyAlignment="1">
      <alignment horizontal="right"/>
    </xf>
    <xf numFmtId="49" fontId="4" fillId="3" borderId="4" xfId="0" applyNumberFormat="1" applyFont="1" applyFill="1" applyBorder="1"/>
    <xf numFmtId="164" fontId="0" fillId="3" borderId="8" xfId="0" applyNumberFormat="1" applyFont="1" applyFill="1" applyBorder="1" applyAlignment="1">
      <alignment horizontal="center"/>
    </xf>
    <xf numFmtId="164" fontId="0" fillId="3" borderId="13" xfId="0" applyNumberFormat="1" applyFont="1" applyFill="1" applyBorder="1" applyAlignment="1">
      <alignment horizontal="center"/>
    </xf>
    <xf numFmtId="49" fontId="0" fillId="0" borderId="0" xfId="0" applyNumberFormat="1" applyFont="1" applyBorder="1"/>
    <xf numFmtId="49" fontId="0" fillId="0" borderId="0" xfId="0" applyNumberFormat="1" applyFont="1"/>
    <xf numFmtId="49" fontId="0" fillId="3" borderId="4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14" xfId="0" applyFont="1" applyFill="1" applyBorder="1" applyAlignment="1">
      <alignment horizontal="right"/>
    </xf>
    <xf numFmtId="0" fontId="4" fillId="4" borderId="14" xfId="0" applyFont="1" applyFill="1" applyBorder="1"/>
    <xf numFmtId="0" fontId="4" fillId="4" borderId="14" xfId="0" applyFont="1" applyFill="1" applyBorder="1" applyAlignment="1">
      <alignment horizontal="left"/>
    </xf>
    <xf numFmtId="164" fontId="4" fillId="4" borderId="14" xfId="0" applyNumberFormat="1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8" xfId="0" applyFont="1" applyBorder="1"/>
    <xf numFmtId="164" fontId="2" fillId="0" borderId="18" xfId="0" applyNumberFormat="1" applyFont="1" applyBorder="1"/>
    <xf numFmtId="0" fontId="4" fillId="4" borderId="8" xfId="0" applyFont="1" applyFill="1" applyBorder="1" applyAlignment="1">
      <alignment horizontal="right"/>
    </xf>
    <xf numFmtId="164" fontId="4" fillId="4" borderId="16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right"/>
    </xf>
    <xf numFmtId="164" fontId="4" fillId="4" borderId="4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4" fillId="3" borderId="19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right"/>
    </xf>
    <xf numFmtId="165" fontId="2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0" fontId="0" fillId="5" borderId="0" xfId="0" applyFont="1" applyFill="1" applyBorder="1"/>
    <xf numFmtId="166" fontId="0" fillId="3" borderId="2" xfId="0" applyNumberFormat="1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5" fillId="3" borderId="14" xfId="0" applyNumberFormat="1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center"/>
    </xf>
  </cellXfs>
  <cellStyles count="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99CCFF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123"/>
  <sheetViews>
    <sheetView tabSelected="1" workbookViewId="0">
      <selection activeCell="N5" sqref="N5:N29"/>
    </sheetView>
  </sheetViews>
  <sheetFormatPr baseColWidth="10" defaultColWidth="8.83203125" defaultRowHeight="15" x14ac:dyDescent="0.2"/>
  <cols>
    <col min="1" max="1" width="4.6640625" style="21" customWidth="1"/>
    <col min="2" max="2" width="25.6640625" style="21" customWidth="1"/>
    <col min="3" max="3" width="8.6640625" style="21" customWidth="1"/>
    <col min="4" max="6" width="25.6640625" style="21" customWidth="1"/>
    <col min="7" max="8" width="7.6640625" style="34" customWidth="1"/>
    <col min="9" max="9" width="7.6640625" style="24" customWidth="1"/>
    <col min="10" max="14" width="7.6640625" style="34" customWidth="1"/>
    <col min="15" max="22" width="9.1640625" style="21" hidden="1" customWidth="1"/>
    <col min="23" max="16384" width="8.83203125" style="21"/>
  </cols>
  <sheetData>
    <row r="1" spans="1:22" x14ac:dyDescent="0.2">
      <c r="A1" s="21" t="s">
        <v>49</v>
      </c>
    </row>
    <row r="2" spans="1:22" x14ac:dyDescent="0.2">
      <c r="A2" s="21" t="s">
        <v>19</v>
      </c>
    </row>
    <row r="3" spans="1:22" ht="16" thickBot="1" x14ac:dyDescent="0.25"/>
    <row r="4" spans="1:22" s="25" customFormat="1" ht="16" thickBot="1" x14ac:dyDescent="0.25">
      <c r="A4" s="50" t="s">
        <v>0</v>
      </c>
      <c r="B4" s="50" t="s">
        <v>1</v>
      </c>
      <c r="C4" s="51" t="s">
        <v>2</v>
      </c>
      <c r="D4" s="50" t="s">
        <v>3</v>
      </c>
      <c r="E4" s="50" t="s">
        <v>4</v>
      </c>
      <c r="F4" s="50" t="s">
        <v>5</v>
      </c>
      <c r="G4" s="13" t="s">
        <v>6</v>
      </c>
      <c r="H4" s="13" t="s">
        <v>8</v>
      </c>
      <c r="I4" s="13" t="s">
        <v>7</v>
      </c>
      <c r="J4" s="13" t="s">
        <v>9</v>
      </c>
      <c r="K4" s="13" t="s">
        <v>47</v>
      </c>
      <c r="L4" s="13" t="s">
        <v>10</v>
      </c>
      <c r="M4" s="13" t="s">
        <v>11</v>
      </c>
      <c r="N4" s="13" t="s">
        <v>12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10</v>
      </c>
      <c r="U4" s="13" t="s">
        <v>11</v>
      </c>
      <c r="V4" s="13" t="s">
        <v>12</v>
      </c>
    </row>
    <row r="5" spans="1:22" ht="16" thickBot="1" x14ac:dyDescent="0.25">
      <c r="A5" s="28">
        <v>1</v>
      </c>
      <c r="B5" s="101" t="s">
        <v>134</v>
      </c>
      <c r="C5" s="100">
        <v>11</v>
      </c>
      <c r="D5" s="101" t="s">
        <v>135</v>
      </c>
      <c r="E5" s="101" t="s">
        <v>136</v>
      </c>
      <c r="F5" s="101" t="s">
        <v>137</v>
      </c>
      <c r="G5" s="134">
        <v>1.5</v>
      </c>
      <c r="H5" s="134">
        <f>MBBR!P29</f>
        <v>0.35714285714285715</v>
      </c>
      <c r="I5" s="141">
        <v>1.5</v>
      </c>
      <c r="J5" s="84">
        <f>HermÖ!L5</f>
        <v>2.5000000000000001E-2</v>
      </c>
      <c r="K5" s="77">
        <f>GOSR!J5</f>
        <v>0.125</v>
      </c>
      <c r="L5" s="77">
        <f>TjörnR!M5</f>
        <v>2.1276595744680851E-2</v>
      </c>
      <c r="M5" s="77">
        <f>SistaC!K5</f>
        <v>7.6923076923076927E-2</v>
      </c>
      <c r="N5" s="120">
        <f>SUM(G5:M5)-G5-I5-H5</f>
        <v>0.24819967266775805</v>
      </c>
      <c r="O5" s="21">
        <f t="shared" ref="O5:O36" si="0">N5-V5</f>
        <v>-24.751800327332241</v>
      </c>
      <c r="P5" s="35"/>
      <c r="Q5" s="35">
        <v>3</v>
      </c>
      <c r="R5" s="35">
        <v>18</v>
      </c>
      <c r="S5" s="35"/>
      <c r="T5" s="35">
        <v>3</v>
      </c>
      <c r="U5" s="35">
        <v>1</v>
      </c>
      <c r="V5" s="36">
        <f t="shared" ref="V5:V36" si="1">SUM(P5:U5)</f>
        <v>25</v>
      </c>
    </row>
    <row r="6" spans="1:22" ht="16" thickBot="1" x14ac:dyDescent="0.25">
      <c r="A6" s="28">
        <v>2</v>
      </c>
      <c r="B6" s="38" t="s">
        <v>75</v>
      </c>
      <c r="C6" s="117">
        <v>10070</v>
      </c>
      <c r="D6" s="39" t="s">
        <v>93</v>
      </c>
      <c r="E6" s="40" t="s">
        <v>299</v>
      </c>
      <c r="F6" s="41" t="s">
        <v>25</v>
      </c>
      <c r="G6" s="135">
        <v>1.5</v>
      </c>
      <c r="H6" s="31">
        <f>MBBR!P19</f>
        <v>0.21428571428571427</v>
      </c>
      <c r="I6" s="31">
        <f>PaterN!L5</f>
        <v>2.2727272727272728E-2</v>
      </c>
      <c r="J6" s="88">
        <f>HermÖ!L8</f>
        <v>0.125</v>
      </c>
      <c r="K6" s="135">
        <v>1.5</v>
      </c>
      <c r="L6" s="31">
        <f>TjörnR!M10</f>
        <v>0.1276595744680851</v>
      </c>
      <c r="M6" s="135">
        <f>SistaC!K7</f>
        <v>0.38461538461538464</v>
      </c>
      <c r="N6" s="83">
        <f>SUM(G6:M6)-G6-K6-M6</f>
        <v>0.48967256148107191</v>
      </c>
      <c r="O6" s="21">
        <f t="shared" si="0"/>
        <v>-33.510327438518928</v>
      </c>
      <c r="P6" s="17">
        <v>9</v>
      </c>
      <c r="Q6" s="17">
        <v>7</v>
      </c>
      <c r="R6" s="17"/>
      <c r="S6" s="17">
        <v>8</v>
      </c>
      <c r="T6" s="17"/>
      <c r="U6" s="17">
        <v>10</v>
      </c>
      <c r="V6" s="36">
        <f t="shared" si="1"/>
        <v>34</v>
      </c>
    </row>
    <row r="7" spans="1:22" ht="16" thickBot="1" x14ac:dyDescent="0.25">
      <c r="A7" s="28">
        <v>3</v>
      </c>
      <c r="B7" s="20" t="s">
        <v>40</v>
      </c>
      <c r="C7" s="73">
        <v>6</v>
      </c>
      <c r="D7" s="20" t="s">
        <v>41</v>
      </c>
      <c r="E7" s="20" t="s">
        <v>42</v>
      </c>
      <c r="F7" s="20" t="s">
        <v>26</v>
      </c>
      <c r="G7" s="31">
        <f>StoraO!J9</f>
        <v>0.52380952380952384</v>
      </c>
      <c r="H7" s="135">
        <f>MBBR!P41</f>
        <v>0.52857142857142858</v>
      </c>
      <c r="I7" s="31">
        <f>PaterN!L8</f>
        <v>9.0909090909090912E-2</v>
      </c>
      <c r="J7" s="136">
        <v>1.5</v>
      </c>
      <c r="K7" s="135">
        <v>1.5</v>
      </c>
      <c r="L7" s="31">
        <f>TjörnR!M8</f>
        <v>8.5106382978723402E-2</v>
      </c>
      <c r="M7" s="31">
        <f>SistaC!K6</f>
        <v>0.23076923076923078</v>
      </c>
      <c r="N7" s="83">
        <f>SUM(G7:M7)-J7-K7-H7</f>
        <v>0.93059422846656836</v>
      </c>
      <c r="O7" s="21">
        <f t="shared" si="0"/>
        <v>-44.069405771533432</v>
      </c>
      <c r="P7" s="17">
        <v>8</v>
      </c>
      <c r="Q7" s="17">
        <v>13</v>
      </c>
      <c r="R7" s="17"/>
      <c r="S7" s="17"/>
      <c r="T7" s="17">
        <v>16</v>
      </c>
      <c r="U7" s="17">
        <v>8</v>
      </c>
      <c r="V7" s="36">
        <f t="shared" si="1"/>
        <v>45</v>
      </c>
    </row>
    <row r="8" spans="1:22" ht="16" thickBot="1" x14ac:dyDescent="0.25">
      <c r="A8" s="28">
        <v>4</v>
      </c>
      <c r="B8" s="20" t="s">
        <v>29</v>
      </c>
      <c r="C8" s="73">
        <v>306</v>
      </c>
      <c r="D8" s="20" t="s">
        <v>30</v>
      </c>
      <c r="E8" s="20" t="s">
        <v>31</v>
      </c>
      <c r="F8" s="20" t="s">
        <v>25</v>
      </c>
      <c r="G8" s="31">
        <f>StoraO!J5</f>
        <v>0.19047619047619047</v>
      </c>
      <c r="H8" s="135">
        <f>MBBR!P44</f>
        <v>0.5714285714285714</v>
      </c>
      <c r="I8" s="31">
        <f>PaterN!L14</f>
        <v>0.25</v>
      </c>
      <c r="J8" s="88">
        <f>HermÖ!L12</f>
        <v>0.25</v>
      </c>
      <c r="K8" s="135">
        <v>1.5</v>
      </c>
      <c r="L8" s="31">
        <f>TjörnR!M19</f>
        <v>0.31914893617021278</v>
      </c>
      <c r="M8" s="135">
        <f>SistaC!K8</f>
        <v>0.46153846153846156</v>
      </c>
      <c r="N8" s="83">
        <f>SUM(G8:M8)-K8-H8-M8</f>
        <v>1.0096251266464034</v>
      </c>
      <c r="O8" s="21">
        <f t="shared" si="0"/>
        <v>-55.990374873353595</v>
      </c>
      <c r="P8" s="17">
        <v>6</v>
      </c>
      <c r="Q8" s="17">
        <v>11</v>
      </c>
      <c r="R8" s="17"/>
      <c r="S8" s="17"/>
      <c r="T8" s="17">
        <v>33</v>
      </c>
      <c r="U8" s="17">
        <v>7</v>
      </c>
      <c r="V8" s="36">
        <f t="shared" si="1"/>
        <v>57</v>
      </c>
    </row>
    <row r="9" spans="1:22" ht="16" thickBot="1" x14ac:dyDescent="0.25">
      <c r="A9" s="28">
        <v>5</v>
      </c>
      <c r="B9" s="20" t="s">
        <v>159</v>
      </c>
      <c r="C9" s="75">
        <v>33</v>
      </c>
      <c r="D9" s="20" t="s">
        <v>160</v>
      </c>
      <c r="E9" s="20" t="s">
        <v>161</v>
      </c>
      <c r="F9" s="20" t="s">
        <v>66</v>
      </c>
      <c r="G9" s="135">
        <v>1.5</v>
      </c>
      <c r="H9" s="31">
        <f>MBBR!P40</f>
        <v>0.51428571428571423</v>
      </c>
      <c r="I9" s="31">
        <f>PaterN!L7</f>
        <v>6.8181818181818177E-2</v>
      </c>
      <c r="J9" s="88">
        <f>HermÖ!L13</f>
        <v>0.3</v>
      </c>
      <c r="K9" s="135">
        <v>1.5</v>
      </c>
      <c r="L9" s="31">
        <f>TjörnR!M26</f>
        <v>0.46808510638297873</v>
      </c>
      <c r="M9" s="135">
        <v>1.5</v>
      </c>
      <c r="N9" s="83">
        <f>SUM(G9:M9)-G9-K9-M9</f>
        <v>1.3505526388505107</v>
      </c>
      <c r="O9" s="21">
        <f t="shared" si="0"/>
        <v>-75.649447361149484</v>
      </c>
      <c r="P9" s="17">
        <v>7</v>
      </c>
      <c r="Q9" s="17">
        <v>2</v>
      </c>
      <c r="R9" s="17"/>
      <c r="S9" s="17">
        <v>18</v>
      </c>
      <c r="T9" s="17">
        <v>50</v>
      </c>
      <c r="U9" s="17"/>
      <c r="V9" s="36">
        <f t="shared" si="1"/>
        <v>77</v>
      </c>
    </row>
    <row r="10" spans="1:22" ht="16" thickBot="1" x14ac:dyDescent="0.25">
      <c r="A10" s="28">
        <v>6</v>
      </c>
      <c r="B10" s="38" t="s">
        <v>168</v>
      </c>
      <c r="C10" s="117">
        <v>11131</v>
      </c>
      <c r="D10" s="39" t="s">
        <v>169</v>
      </c>
      <c r="E10" s="40" t="s">
        <v>170</v>
      </c>
      <c r="F10" s="41" t="s">
        <v>66</v>
      </c>
      <c r="G10" s="135">
        <v>1.5</v>
      </c>
      <c r="H10" s="31">
        <f>MBBR!P48</f>
        <v>0.62857142857142856</v>
      </c>
      <c r="I10" s="31">
        <f>PaterN!L21</f>
        <v>0.43181818181818182</v>
      </c>
      <c r="J10" s="88">
        <f>HermÖ!L7</f>
        <v>0.1</v>
      </c>
      <c r="K10" s="135">
        <f>GOSR!J10</f>
        <v>0.875</v>
      </c>
      <c r="L10" s="31">
        <f>TjörnR!M21</f>
        <v>0.36170212765957449</v>
      </c>
      <c r="M10" s="135">
        <v>1.5</v>
      </c>
      <c r="N10" s="83">
        <f>SUM(G10:M10)-G10-K10-M10</f>
        <v>1.522091738049185</v>
      </c>
      <c r="O10" s="21">
        <f t="shared" si="0"/>
        <v>-102.47790826195082</v>
      </c>
      <c r="P10" s="17">
        <v>4</v>
      </c>
      <c r="Q10" s="17"/>
      <c r="R10" s="17">
        <v>45</v>
      </c>
      <c r="S10" s="17"/>
      <c r="T10" s="17">
        <v>46</v>
      </c>
      <c r="U10" s="17">
        <v>9</v>
      </c>
      <c r="V10" s="36">
        <f t="shared" si="1"/>
        <v>104</v>
      </c>
    </row>
    <row r="11" spans="1:22" ht="16" thickBot="1" x14ac:dyDescent="0.25">
      <c r="A11" s="28">
        <v>7</v>
      </c>
      <c r="B11" s="20" t="s">
        <v>43</v>
      </c>
      <c r="C11" s="73">
        <v>80</v>
      </c>
      <c r="D11" s="20" t="s">
        <v>45</v>
      </c>
      <c r="E11" s="20" t="s">
        <v>44</v>
      </c>
      <c r="F11" s="20" t="s">
        <v>26</v>
      </c>
      <c r="G11" s="31">
        <f>StoraO!J12</f>
        <v>0.80952380952380953</v>
      </c>
      <c r="H11" s="135">
        <f>MBBR!P61</f>
        <v>0.81428571428571428</v>
      </c>
      <c r="I11" s="31">
        <f>PaterN!L18</f>
        <v>0.34090909090909088</v>
      </c>
      <c r="J11" s="136">
        <v>1.5</v>
      </c>
      <c r="K11" s="31">
        <f>GOSR!J8</f>
        <v>0.625</v>
      </c>
      <c r="L11" s="31">
        <f>TjörnR!M17</f>
        <v>0.27659574468085107</v>
      </c>
      <c r="M11" s="135">
        <v>1.5</v>
      </c>
      <c r="N11" s="83">
        <f>SUM(G11:M11)-J11-H11-M11</f>
        <v>2.0520286451137517</v>
      </c>
      <c r="O11" s="21">
        <f t="shared" si="0"/>
        <v>-111.94797135488625</v>
      </c>
      <c r="P11" s="17"/>
      <c r="Q11" s="17">
        <v>17</v>
      </c>
      <c r="R11" s="17">
        <v>55</v>
      </c>
      <c r="S11" s="17">
        <v>5</v>
      </c>
      <c r="T11" s="17">
        <v>37</v>
      </c>
      <c r="U11" s="17"/>
      <c r="V11" s="36">
        <f t="shared" si="1"/>
        <v>114</v>
      </c>
    </row>
    <row r="12" spans="1:22" ht="16" thickBot="1" x14ac:dyDescent="0.25">
      <c r="A12" s="28">
        <v>8</v>
      </c>
      <c r="B12" s="20" t="s">
        <v>159</v>
      </c>
      <c r="C12" s="33">
        <v>75</v>
      </c>
      <c r="D12" s="20" t="s">
        <v>174</v>
      </c>
      <c r="E12" s="20" t="s">
        <v>175</v>
      </c>
      <c r="F12" s="20" t="s">
        <v>176</v>
      </c>
      <c r="G12" s="135">
        <v>1.5</v>
      </c>
      <c r="H12" s="31">
        <f>MBBR!P53</f>
        <v>0.7</v>
      </c>
      <c r="I12" s="88">
        <f>PaterN!L11</f>
        <v>0.18181818181818182</v>
      </c>
      <c r="J12" s="88">
        <f>HermÖ!L21</f>
        <v>0.67500000000000004</v>
      </c>
      <c r="K12" s="135">
        <v>1.5</v>
      </c>
      <c r="L12" s="31">
        <f>TjörnR!M30</f>
        <v>0.57446808510638303</v>
      </c>
      <c r="M12" s="135">
        <v>1.5</v>
      </c>
      <c r="N12" s="83">
        <f>SUM(G12:M12)-G12-K12-M12</f>
        <v>2.1312862669245645</v>
      </c>
      <c r="O12" s="21">
        <f t="shared" si="0"/>
        <v>-141.86871373307542</v>
      </c>
      <c r="P12" s="17"/>
      <c r="Q12" s="17"/>
      <c r="R12" s="17">
        <v>124</v>
      </c>
      <c r="S12" s="17">
        <v>2</v>
      </c>
      <c r="T12" s="17">
        <v>15</v>
      </c>
      <c r="U12" s="17">
        <v>3</v>
      </c>
      <c r="V12" s="36">
        <f t="shared" si="1"/>
        <v>144</v>
      </c>
    </row>
    <row r="13" spans="1:22" ht="16" thickBot="1" x14ac:dyDescent="0.25">
      <c r="A13" s="28">
        <v>9</v>
      </c>
      <c r="B13" s="20" t="s">
        <v>145</v>
      </c>
      <c r="C13" s="75">
        <v>57</v>
      </c>
      <c r="D13" s="20" t="s">
        <v>171</v>
      </c>
      <c r="E13" s="20" t="s">
        <v>172</v>
      </c>
      <c r="F13" s="20" t="s">
        <v>173</v>
      </c>
      <c r="G13" s="135">
        <v>1.5</v>
      </c>
      <c r="H13" s="31">
        <f>MBBR!P28</f>
        <v>0.34285714285714286</v>
      </c>
      <c r="I13" s="31">
        <f>PaterN!L13</f>
        <v>0.22727272727272727</v>
      </c>
      <c r="J13" s="88">
        <f>HermÖ!L14</f>
        <v>0.32500000000000001</v>
      </c>
      <c r="K13" s="135">
        <v>1.5</v>
      </c>
      <c r="L13" s="135">
        <v>1.5</v>
      </c>
      <c r="M13" s="31">
        <v>1.5</v>
      </c>
      <c r="N13" s="83">
        <f>SUM(G13:M13)-G13-K13-L13</f>
        <v>2.3951298701298702</v>
      </c>
      <c r="O13" s="21">
        <f t="shared" si="0"/>
        <v>-151.60487012987014</v>
      </c>
      <c r="P13" s="17"/>
      <c r="Q13" s="17"/>
      <c r="R13" s="17">
        <v>11</v>
      </c>
      <c r="S13" s="17">
        <v>1</v>
      </c>
      <c r="T13" s="17">
        <v>18</v>
      </c>
      <c r="U13" s="17">
        <v>124</v>
      </c>
      <c r="V13" s="36">
        <f t="shared" si="1"/>
        <v>154</v>
      </c>
    </row>
    <row r="14" spans="1:22" ht="16" thickBot="1" x14ac:dyDescent="0.25">
      <c r="A14" s="28">
        <v>10</v>
      </c>
      <c r="B14" s="20" t="s">
        <v>37</v>
      </c>
      <c r="C14" s="73">
        <v>1034</v>
      </c>
      <c r="D14" s="20" t="s">
        <v>38</v>
      </c>
      <c r="E14" s="20" t="s">
        <v>298</v>
      </c>
      <c r="F14" s="20" t="s">
        <v>39</v>
      </c>
      <c r="G14" s="31">
        <f>StoraO!J11</f>
        <v>0.66666666666666663</v>
      </c>
      <c r="H14" s="135">
        <v>1.5</v>
      </c>
      <c r="I14" s="31">
        <f>PaterN!L17</f>
        <v>0.31818181818181818</v>
      </c>
      <c r="J14" s="88">
        <f>HermÖ!L24</f>
        <v>0.75</v>
      </c>
      <c r="K14" s="31">
        <f>GOSR!J9</f>
        <v>0.75</v>
      </c>
      <c r="L14" s="135">
        <v>1.5</v>
      </c>
      <c r="M14" s="135">
        <v>1.5</v>
      </c>
      <c r="N14" s="83">
        <f>SUM(G14:M14)-H14-L14-M14</f>
        <v>2.4848484848484844</v>
      </c>
      <c r="O14" s="21">
        <f t="shared" si="0"/>
        <v>-151.5151515151515</v>
      </c>
      <c r="P14" s="17">
        <v>1</v>
      </c>
      <c r="Q14" s="17"/>
      <c r="R14" s="17">
        <v>10</v>
      </c>
      <c r="S14" s="17"/>
      <c r="T14" s="17">
        <v>19</v>
      </c>
      <c r="U14" s="17">
        <v>124</v>
      </c>
      <c r="V14" s="36">
        <f t="shared" si="1"/>
        <v>154</v>
      </c>
    </row>
    <row r="15" spans="1:22" ht="16" thickBot="1" x14ac:dyDescent="0.25">
      <c r="A15" s="28">
        <v>11</v>
      </c>
      <c r="B15" s="20" t="s">
        <v>108</v>
      </c>
      <c r="C15" s="75">
        <v>69</v>
      </c>
      <c r="D15" s="20" t="s">
        <v>109</v>
      </c>
      <c r="E15" s="20" t="s">
        <v>110</v>
      </c>
      <c r="F15" s="20" t="s">
        <v>111</v>
      </c>
      <c r="G15" s="135">
        <v>1.5</v>
      </c>
      <c r="H15" s="31">
        <f>MBBR!P22</f>
        <v>0.25714285714285712</v>
      </c>
      <c r="I15" s="135">
        <v>1.5</v>
      </c>
      <c r="J15" s="136">
        <f>HermÖ!L29</f>
        <v>1.5</v>
      </c>
      <c r="K15" s="31">
        <f>GOSR!J7</f>
        <v>0.5</v>
      </c>
      <c r="L15" s="31">
        <f>TjörnR!M15</f>
        <v>0.23404255319148937</v>
      </c>
      <c r="M15" s="31">
        <v>1.5</v>
      </c>
      <c r="N15" s="83">
        <f>SUM(G15:M15)-G15-I15-J15</f>
        <v>2.4911854103343467</v>
      </c>
      <c r="O15" s="21">
        <f t="shared" si="0"/>
        <v>-161.50881458966566</v>
      </c>
      <c r="P15" s="17"/>
      <c r="Q15" s="17"/>
      <c r="R15" s="17">
        <v>32</v>
      </c>
      <c r="S15" s="17">
        <v>3</v>
      </c>
      <c r="T15" s="17">
        <v>5</v>
      </c>
      <c r="U15" s="17">
        <v>124</v>
      </c>
      <c r="V15" s="36">
        <f t="shared" si="1"/>
        <v>164</v>
      </c>
    </row>
    <row r="16" spans="1:22" ht="16" thickBot="1" x14ac:dyDescent="0.25">
      <c r="A16" s="28">
        <v>12</v>
      </c>
      <c r="B16" s="20" t="s">
        <v>54</v>
      </c>
      <c r="C16" s="33" t="s">
        <v>55</v>
      </c>
      <c r="D16" s="20" t="s">
        <v>56</v>
      </c>
      <c r="E16" s="20" t="s">
        <v>57</v>
      </c>
      <c r="F16" s="20" t="s">
        <v>58</v>
      </c>
      <c r="G16" s="31">
        <f>StoraO!J8</f>
        <v>0.47619047619047616</v>
      </c>
      <c r="H16" s="31">
        <f>MBBR!P31</f>
        <v>0.38571428571428573</v>
      </c>
      <c r="I16" s="135">
        <v>1.5</v>
      </c>
      <c r="J16" s="136">
        <v>1.5</v>
      </c>
      <c r="K16" s="135">
        <v>1.5</v>
      </c>
      <c r="L16" s="31">
        <f>TjörnR!M20</f>
        <v>0.34042553191489361</v>
      </c>
      <c r="M16" s="31">
        <v>1.5</v>
      </c>
      <c r="N16" s="83">
        <f>SUM(G16:M16)-I16-J16-K16</f>
        <v>2.7023302938196556</v>
      </c>
      <c r="O16" s="21">
        <f t="shared" si="0"/>
        <v>-161.29766970618036</v>
      </c>
      <c r="P16" s="17">
        <v>10</v>
      </c>
      <c r="Q16" s="17"/>
      <c r="R16" s="17">
        <v>26</v>
      </c>
      <c r="S16" s="17"/>
      <c r="T16" s="17">
        <v>124</v>
      </c>
      <c r="U16" s="17">
        <v>4</v>
      </c>
      <c r="V16" s="36">
        <f t="shared" si="1"/>
        <v>164</v>
      </c>
    </row>
    <row r="17" spans="1:22" ht="16" thickBot="1" x14ac:dyDescent="0.25">
      <c r="A17" s="28">
        <v>13</v>
      </c>
      <c r="B17" s="20" t="s">
        <v>35</v>
      </c>
      <c r="C17" s="20">
        <v>39</v>
      </c>
      <c r="D17" s="20" t="s">
        <v>27</v>
      </c>
      <c r="E17" s="20" t="s">
        <v>28</v>
      </c>
      <c r="F17" s="20" t="s">
        <v>36</v>
      </c>
      <c r="G17" s="31">
        <f>StoraO!J10</f>
        <v>0.5714285714285714</v>
      </c>
      <c r="H17" s="31">
        <f>MBBR!P65</f>
        <v>0.87142857142857144</v>
      </c>
      <c r="I17" s="31">
        <f>PaterN!L15</f>
        <v>0.27272727272727271</v>
      </c>
      <c r="J17" s="136">
        <v>1.5</v>
      </c>
      <c r="K17" s="135">
        <v>1.5</v>
      </c>
      <c r="L17" s="31">
        <f>TjörnR!M45</f>
        <v>1.0212765957446808</v>
      </c>
      <c r="M17" s="135">
        <v>1.5</v>
      </c>
      <c r="N17" s="83">
        <f>SUM(G17:M17)-J17-K17-M17</f>
        <v>2.7368610113290961</v>
      </c>
      <c r="O17" s="21">
        <f t="shared" si="0"/>
        <v>-176.2631389886709</v>
      </c>
      <c r="P17" s="17"/>
      <c r="Q17" s="17">
        <v>5</v>
      </c>
      <c r="R17" s="17">
        <v>38</v>
      </c>
      <c r="S17" s="17"/>
      <c r="T17" s="17">
        <v>12</v>
      </c>
      <c r="U17" s="17">
        <v>124</v>
      </c>
      <c r="V17" s="36">
        <f t="shared" si="1"/>
        <v>179</v>
      </c>
    </row>
    <row r="18" spans="1:22" ht="16" thickBot="1" x14ac:dyDescent="0.25">
      <c r="A18" s="28">
        <v>14</v>
      </c>
      <c r="B18" s="20" t="s">
        <v>148</v>
      </c>
      <c r="C18" s="33">
        <v>162</v>
      </c>
      <c r="D18" s="20" t="s">
        <v>149</v>
      </c>
      <c r="E18" s="20" t="s">
        <v>150</v>
      </c>
      <c r="F18" s="20" t="s">
        <v>151</v>
      </c>
      <c r="G18" s="135">
        <v>1.5</v>
      </c>
      <c r="H18" s="31">
        <f>MBBR!P52</f>
        <v>0.68571428571428572</v>
      </c>
      <c r="I18" s="135">
        <v>1.5</v>
      </c>
      <c r="J18" s="88">
        <f>HermÖ!L16</f>
        <v>0.45</v>
      </c>
      <c r="K18" s="135">
        <v>1.5</v>
      </c>
      <c r="L18" s="31">
        <f>TjörnR!M12</f>
        <v>0.1702127659574468</v>
      </c>
      <c r="M18" s="31">
        <v>1.5</v>
      </c>
      <c r="N18" s="83">
        <f>SUM(G18:M18)-G18-I18-K18</f>
        <v>2.8059270516717332</v>
      </c>
      <c r="O18" s="21">
        <f t="shared" si="0"/>
        <v>-185.19407294832826</v>
      </c>
      <c r="P18" s="17"/>
      <c r="Q18" s="17">
        <v>1</v>
      </c>
      <c r="R18" s="17">
        <v>16</v>
      </c>
      <c r="S18" s="17"/>
      <c r="T18" s="17">
        <v>47</v>
      </c>
      <c r="U18" s="17">
        <v>124</v>
      </c>
      <c r="V18" s="36">
        <f t="shared" si="1"/>
        <v>188</v>
      </c>
    </row>
    <row r="19" spans="1:22" ht="16" thickBot="1" x14ac:dyDescent="0.25">
      <c r="A19" s="28">
        <v>15</v>
      </c>
      <c r="B19" s="42" t="s">
        <v>84</v>
      </c>
      <c r="C19" s="43">
        <v>27</v>
      </c>
      <c r="D19" s="44" t="s">
        <v>85</v>
      </c>
      <c r="E19" s="37" t="s">
        <v>86</v>
      </c>
      <c r="F19" s="45"/>
      <c r="G19" s="135">
        <v>1.5</v>
      </c>
      <c r="H19" s="31">
        <f>MBBR!P15</f>
        <v>0.15714285714285714</v>
      </c>
      <c r="I19" s="135">
        <v>1.5</v>
      </c>
      <c r="J19" s="136">
        <v>1.5</v>
      </c>
      <c r="K19" s="31">
        <v>1.5</v>
      </c>
      <c r="L19" s="31">
        <f>TjörnR!M6</f>
        <v>4.2553191489361701E-2</v>
      </c>
      <c r="M19" s="31">
        <v>1.5</v>
      </c>
      <c r="N19" s="83">
        <f>SUM(G19:M19)-G19-I19-J19</f>
        <v>3.1996960486322186</v>
      </c>
      <c r="O19" s="21">
        <f t="shared" si="0"/>
        <v>-196.80030395136779</v>
      </c>
      <c r="P19" s="17"/>
      <c r="Q19" s="17"/>
      <c r="R19" s="17">
        <v>46</v>
      </c>
      <c r="S19" s="17">
        <v>10</v>
      </c>
      <c r="T19" s="17">
        <v>20</v>
      </c>
      <c r="U19" s="17">
        <v>124</v>
      </c>
      <c r="V19" s="36">
        <f t="shared" si="1"/>
        <v>200</v>
      </c>
    </row>
    <row r="20" spans="1:22" ht="16" thickBot="1" x14ac:dyDescent="0.25">
      <c r="A20" s="28">
        <v>16</v>
      </c>
      <c r="B20" s="20" t="s">
        <v>118</v>
      </c>
      <c r="C20" s="20">
        <v>49</v>
      </c>
      <c r="D20" s="20" t="s">
        <v>119</v>
      </c>
      <c r="E20" s="20" t="s">
        <v>120</v>
      </c>
      <c r="F20" s="20" t="s">
        <v>26</v>
      </c>
      <c r="G20" s="135">
        <v>1.5</v>
      </c>
      <c r="H20" s="31">
        <f>MBBR!P16</f>
        <v>0.17142857142857143</v>
      </c>
      <c r="I20" s="136">
        <v>1.5</v>
      </c>
      <c r="J20" s="136">
        <v>1.5</v>
      </c>
      <c r="K20" s="31">
        <v>1.5</v>
      </c>
      <c r="L20" s="80">
        <f>TjörnR!M9</f>
        <v>0.10638297872340426</v>
      </c>
      <c r="M20" s="31">
        <v>1.5</v>
      </c>
      <c r="N20" s="83">
        <f>SUM(G20:M20)-G20-I20-J20</f>
        <v>3.2778115501519762</v>
      </c>
      <c r="O20" s="21">
        <f t="shared" si="0"/>
        <v>-235.72218844984803</v>
      </c>
      <c r="P20" s="81"/>
      <c r="Q20" s="81">
        <v>4</v>
      </c>
      <c r="R20" s="81">
        <v>34</v>
      </c>
      <c r="S20" s="81"/>
      <c r="T20" s="81">
        <v>77</v>
      </c>
      <c r="U20" s="81">
        <v>124</v>
      </c>
      <c r="V20" s="82">
        <f t="shared" si="1"/>
        <v>239</v>
      </c>
    </row>
    <row r="21" spans="1:22" ht="16" thickBot="1" x14ac:dyDescent="0.25">
      <c r="A21" s="28">
        <v>17</v>
      </c>
      <c r="B21" s="20" t="s">
        <v>268</v>
      </c>
      <c r="C21" s="33">
        <v>536</v>
      </c>
      <c r="D21" s="20" t="s">
        <v>332</v>
      </c>
      <c r="E21" s="20" t="s">
        <v>412</v>
      </c>
      <c r="F21" s="20" t="s">
        <v>66</v>
      </c>
      <c r="G21" s="135">
        <v>1.5</v>
      </c>
      <c r="H21" s="31">
        <v>1.5</v>
      </c>
      <c r="I21" s="135">
        <v>1.5</v>
      </c>
      <c r="J21" s="88">
        <f>HermÖ!L6</f>
        <v>7.4999999999999997E-2</v>
      </c>
      <c r="K21" s="135">
        <v>1.5</v>
      </c>
      <c r="L21" s="80">
        <f>TjörnR!M18</f>
        <v>0.2978723404255319</v>
      </c>
      <c r="M21" s="31">
        <v>1.5</v>
      </c>
      <c r="N21" s="83">
        <f>SUM(G21:M21)-G21-I21-K21</f>
        <v>3.3728723404255323</v>
      </c>
      <c r="O21" s="21">
        <f t="shared" si="0"/>
        <v>-235.62712765957446</v>
      </c>
      <c r="P21" s="81"/>
      <c r="Q21" s="81">
        <v>4</v>
      </c>
      <c r="R21" s="81">
        <v>34</v>
      </c>
      <c r="S21" s="81"/>
      <c r="T21" s="81">
        <v>77</v>
      </c>
      <c r="U21" s="81">
        <v>124</v>
      </c>
      <c r="V21" s="82">
        <f t="shared" si="1"/>
        <v>239</v>
      </c>
    </row>
    <row r="22" spans="1:22" ht="16" thickBot="1" x14ac:dyDescent="0.25">
      <c r="A22" s="28">
        <v>18</v>
      </c>
      <c r="B22" s="29" t="s">
        <v>71</v>
      </c>
      <c r="C22" s="30">
        <v>6</v>
      </c>
      <c r="D22" s="29" t="s">
        <v>126</v>
      </c>
      <c r="E22" s="29" t="s">
        <v>127</v>
      </c>
      <c r="F22" s="29" t="s">
        <v>128</v>
      </c>
      <c r="G22" s="135">
        <v>1.5</v>
      </c>
      <c r="H22" s="31">
        <f>MBBR!P57</f>
        <v>0.75714285714285712</v>
      </c>
      <c r="I22" s="135">
        <v>1.5</v>
      </c>
      <c r="J22" s="88">
        <f>HermÖ!L22</f>
        <v>0.7</v>
      </c>
      <c r="K22" s="135">
        <v>1.5</v>
      </c>
      <c r="L22" s="80">
        <f>TjörnR!M29</f>
        <v>0.53191489361702127</v>
      </c>
      <c r="M22" s="31">
        <v>1.5</v>
      </c>
      <c r="N22" s="83">
        <f>SUM(G22:M22)-G22-I22-K22</f>
        <v>3.4890577507598781</v>
      </c>
      <c r="O22" s="21">
        <f t="shared" si="0"/>
        <v>-235.51094224924012</v>
      </c>
      <c r="P22" s="81"/>
      <c r="Q22" s="81">
        <v>4</v>
      </c>
      <c r="R22" s="81">
        <v>34</v>
      </c>
      <c r="S22" s="81"/>
      <c r="T22" s="81">
        <v>77</v>
      </c>
      <c r="U22" s="81">
        <v>124</v>
      </c>
      <c r="V22" s="82">
        <f t="shared" si="1"/>
        <v>239</v>
      </c>
    </row>
    <row r="23" spans="1:22" ht="16" thickBot="1" x14ac:dyDescent="0.25">
      <c r="A23" s="28">
        <v>19</v>
      </c>
      <c r="B23" s="29" t="s">
        <v>108</v>
      </c>
      <c r="C23" s="30">
        <v>85</v>
      </c>
      <c r="D23" s="29" t="s">
        <v>156</v>
      </c>
      <c r="E23" s="37" t="s">
        <v>157</v>
      </c>
      <c r="F23" s="29" t="s">
        <v>155</v>
      </c>
      <c r="G23" s="135">
        <v>1.5</v>
      </c>
      <c r="H23" s="31">
        <f>MBBR!P25</f>
        <v>0.3</v>
      </c>
      <c r="I23" s="135">
        <v>1.5</v>
      </c>
      <c r="J23" s="136">
        <v>1.5</v>
      </c>
      <c r="K23" s="31">
        <v>1.5</v>
      </c>
      <c r="L23" s="80">
        <f>TjörnR!M16</f>
        <v>0.25531914893617019</v>
      </c>
      <c r="M23" s="31">
        <v>1.5</v>
      </c>
      <c r="N23" s="83">
        <f>SUM(G23:M23)-G23-I23-J23</f>
        <v>3.5553191489361708</v>
      </c>
      <c r="O23" s="21">
        <f t="shared" si="0"/>
        <v>-235.44468085106382</v>
      </c>
      <c r="P23" s="81"/>
      <c r="Q23" s="81">
        <v>4</v>
      </c>
      <c r="R23" s="81">
        <v>34</v>
      </c>
      <c r="S23" s="81"/>
      <c r="T23" s="81">
        <v>77</v>
      </c>
      <c r="U23" s="81">
        <v>124</v>
      </c>
      <c r="V23" s="82">
        <f t="shared" si="1"/>
        <v>239</v>
      </c>
    </row>
    <row r="24" spans="1:22" ht="16" thickBot="1" x14ac:dyDescent="0.25">
      <c r="A24" s="28">
        <v>20</v>
      </c>
      <c r="B24" s="20" t="s">
        <v>51</v>
      </c>
      <c r="C24" s="33">
        <v>586</v>
      </c>
      <c r="D24" s="20" t="s">
        <v>52</v>
      </c>
      <c r="E24" s="20" t="s">
        <v>53</v>
      </c>
      <c r="F24" s="20" t="s">
        <v>26</v>
      </c>
      <c r="G24" s="80">
        <f>StoraO!J6</f>
        <v>0.38095238095238093</v>
      </c>
      <c r="H24" s="135">
        <v>1.5</v>
      </c>
      <c r="I24" s="135">
        <v>1.5</v>
      </c>
      <c r="J24" s="88">
        <f>HermÖ!L10</f>
        <v>0.2</v>
      </c>
      <c r="K24" s="135">
        <v>1.5</v>
      </c>
      <c r="L24" s="80">
        <v>1.5</v>
      </c>
      <c r="M24" s="31">
        <v>1.5</v>
      </c>
      <c r="N24" s="83">
        <f>SUM(G24:M24)-H24-I24-K24</f>
        <v>3.5809523809523807</v>
      </c>
      <c r="O24" s="21">
        <f t="shared" si="0"/>
        <v>-235.41904761904763</v>
      </c>
      <c r="P24" s="81"/>
      <c r="Q24" s="81">
        <v>4</v>
      </c>
      <c r="R24" s="81">
        <v>34</v>
      </c>
      <c r="S24" s="81"/>
      <c r="T24" s="81">
        <v>77</v>
      </c>
      <c r="U24" s="81">
        <v>124</v>
      </c>
      <c r="V24" s="82">
        <f t="shared" si="1"/>
        <v>239</v>
      </c>
    </row>
    <row r="25" spans="1:22" ht="16" thickBot="1" x14ac:dyDescent="0.25">
      <c r="A25" s="28">
        <v>21</v>
      </c>
      <c r="B25" s="26" t="s">
        <v>272</v>
      </c>
      <c r="C25" s="27" t="s">
        <v>273</v>
      </c>
      <c r="D25" s="26" t="s">
        <v>274</v>
      </c>
      <c r="E25" s="26" t="s">
        <v>275</v>
      </c>
      <c r="F25" s="26" t="s">
        <v>66</v>
      </c>
      <c r="G25" s="135">
        <v>1.5</v>
      </c>
      <c r="H25" s="135">
        <v>1.5</v>
      </c>
      <c r="I25" s="88">
        <f>PaterN!L10</f>
        <v>0.15909090909090909</v>
      </c>
      <c r="J25" s="97">
        <f>HermÖ!L15</f>
        <v>0.42499999999999999</v>
      </c>
      <c r="K25" s="135">
        <v>1.5</v>
      </c>
      <c r="L25" s="80">
        <v>1.5</v>
      </c>
      <c r="M25" s="31">
        <v>1.5</v>
      </c>
      <c r="N25" s="83">
        <f>SUM(G25:M25)-G25-H25-K25</f>
        <v>3.584090909090909</v>
      </c>
      <c r="O25" s="21">
        <f t="shared" si="0"/>
        <v>-235.41590909090908</v>
      </c>
      <c r="P25" s="81"/>
      <c r="Q25" s="81">
        <v>4</v>
      </c>
      <c r="R25" s="81">
        <v>34</v>
      </c>
      <c r="S25" s="81"/>
      <c r="T25" s="81">
        <v>77</v>
      </c>
      <c r="U25" s="81">
        <v>124</v>
      </c>
      <c r="V25" s="82">
        <f t="shared" si="1"/>
        <v>239</v>
      </c>
    </row>
    <row r="26" spans="1:22" ht="16" thickBot="1" x14ac:dyDescent="0.25">
      <c r="A26" s="28">
        <v>22</v>
      </c>
      <c r="B26" s="42" t="s">
        <v>142</v>
      </c>
      <c r="C26" s="43">
        <v>49</v>
      </c>
      <c r="D26" s="44" t="s">
        <v>143</v>
      </c>
      <c r="E26" s="37" t="s">
        <v>144</v>
      </c>
      <c r="F26" s="45"/>
      <c r="G26" s="137">
        <v>1.5</v>
      </c>
      <c r="H26" s="31">
        <f>MBBR!P37</f>
        <v>0.47142857142857142</v>
      </c>
      <c r="I26" s="135">
        <v>1.5</v>
      </c>
      <c r="J26" s="136">
        <v>1.5</v>
      </c>
      <c r="K26" s="31">
        <v>1.5</v>
      </c>
      <c r="L26" s="80">
        <f>TjörnR!M13</f>
        <v>0.19148936170212766</v>
      </c>
      <c r="M26" s="31">
        <v>1.5</v>
      </c>
      <c r="N26" s="83">
        <f>SUM(G26:M26)-G26-I26-J26</f>
        <v>3.6629179331307</v>
      </c>
      <c r="O26" s="21">
        <f t="shared" si="0"/>
        <v>-235.3370820668693</v>
      </c>
      <c r="P26" s="81"/>
      <c r="Q26" s="81">
        <v>4</v>
      </c>
      <c r="R26" s="81">
        <v>34</v>
      </c>
      <c r="S26" s="81"/>
      <c r="T26" s="81">
        <v>77</v>
      </c>
      <c r="U26" s="81">
        <v>124</v>
      </c>
      <c r="V26" s="82">
        <f t="shared" si="1"/>
        <v>239</v>
      </c>
    </row>
    <row r="27" spans="1:22" ht="16" thickBot="1" x14ac:dyDescent="0.25">
      <c r="A27" s="28">
        <v>23</v>
      </c>
      <c r="B27" s="20" t="s">
        <v>322</v>
      </c>
      <c r="C27" s="33">
        <v>1</v>
      </c>
      <c r="D27" s="20" t="s">
        <v>274</v>
      </c>
      <c r="E27" s="20" t="s">
        <v>304</v>
      </c>
      <c r="F27" s="20" t="s">
        <v>173</v>
      </c>
      <c r="G27" s="135">
        <v>1.5</v>
      </c>
      <c r="H27" s="135">
        <v>1.5</v>
      </c>
      <c r="I27" s="135">
        <v>1.5</v>
      </c>
      <c r="J27" s="88">
        <f>HermÖ!L9</f>
        <v>0.17499999999999999</v>
      </c>
      <c r="K27" s="31">
        <v>1.5</v>
      </c>
      <c r="L27" s="80">
        <f>TjörnR!M27</f>
        <v>0.48936170212765956</v>
      </c>
      <c r="M27" s="31">
        <v>1.5</v>
      </c>
      <c r="N27" s="83">
        <f>SUM(G27:M27)-G27-H27-I27</f>
        <v>3.6643617021276604</v>
      </c>
      <c r="O27" s="21">
        <f t="shared" si="0"/>
        <v>-235.33563829787235</v>
      </c>
      <c r="P27" s="81"/>
      <c r="Q27" s="81">
        <v>4</v>
      </c>
      <c r="R27" s="81">
        <v>34</v>
      </c>
      <c r="S27" s="81"/>
      <c r="T27" s="81">
        <v>77</v>
      </c>
      <c r="U27" s="81">
        <v>124</v>
      </c>
      <c r="V27" s="82">
        <f t="shared" si="1"/>
        <v>239</v>
      </c>
    </row>
    <row r="28" spans="1:22" ht="16" thickBot="1" x14ac:dyDescent="0.25">
      <c r="A28" s="28">
        <v>24</v>
      </c>
      <c r="B28" s="20" t="s">
        <v>177</v>
      </c>
      <c r="C28" s="33">
        <v>279</v>
      </c>
      <c r="D28" s="20" t="s">
        <v>178</v>
      </c>
      <c r="E28" s="20" t="s">
        <v>179</v>
      </c>
      <c r="F28" s="20" t="s">
        <v>36</v>
      </c>
      <c r="G28" s="135">
        <v>1.5</v>
      </c>
      <c r="H28" s="31">
        <f>MBBR!P69</f>
        <v>0.9285714285714286</v>
      </c>
      <c r="I28" s="31">
        <f>PaterN!L24</f>
        <v>0.63636363636363635</v>
      </c>
      <c r="J28" s="136">
        <v>1.5</v>
      </c>
      <c r="K28" s="135">
        <v>1.5</v>
      </c>
      <c r="L28" s="80">
        <f>TjörnR!M34</f>
        <v>0.65957446808510634</v>
      </c>
      <c r="M28" s="31">
        <v>1.5</v>
      </c>
      <c r="N28" s="83">
        <f>SUM(G28:M28)-G28-J28-K28</f>
        <v>3.7245095330201714</v>
      </c>
      <c r="O28" s="21">
        <f t="shared" si="0"/>
        <v>-235.27549046697982</v>
      </c>
      <c r="P28" s="81"/>
      <c r="Q28" s="81">
        <v>4</v>
      </c>
      <c r="R28" s="81">
        <v>34</v>
      </c>
      <c r="S28" s="81"/>
      <c r="T28" s="81">
        <v>77</v>
      </c>
      <c r="U28" s="81">
        <v>124</v>
      </c>
      <c r="V28" s="82">
        <f t="shared" si="1"/>
        <v>239</v>
      </c>
    </row>
    <row r="29" spans="1:22" ht="16" thickBot="1" x14ac:dyDescent="0.25">
      <c r="A29" s="28">
        <v>25</v>
      </c>
      <c r="B29" s="20" t="s">
        <v>279</v>
      </c>
      <c r="C29" s="20">
        <v>56</v>
      </c>
      <c r="D29" s="20" t="s">
        <v>280</v>
      </c>
      <c r="E29" s="20" t="s">
        <v>281</v>
      </c>
      <c r="F29" s="20" t="s">
        <v>173</v>
      </c>
      <c r="G29" s="135">
        <v>1.5</v>
      </c>
      <c r="H29" s="135">
        <v>1.5</v>
      </c>
      <c r="I29" s="31">
        <f>PaterN!L16</f>
        <v>0.29545454545454547</v>
      </c>
      <c r="J29" s="88">
        <f>HermÖ!L18</f>
        <v>0.55000000000000004</v>
      </c>
      <c r="K29" s="135">
        <v>1.5</v>
      </c>
      <c r="L29" s="80">
        <v>1.5</v>
      </c>
      <c r="M29" s="31">
        <v>1.5</v>
      </c>
      <c r="N29" s="83">
        <f>SUM(G29:M29)-G29-H29-K29</f>
        <v>3.8454545454545457</v>
      </c>
      <c r="O29" s="21">
        <f t="shared" si="0"/>
        <v>-235.15454545454546</v>
      </c>
      <c r="P29" s="81"/>
      <c r="Q29" s="81">
        <v>4</v>
      </c>
      <c r="R29" s="81">
        <v>34</v>
      </c>
      <c r="S29" s="81"/>
      <c r="T29" s="81">
        <v>77</v>
      </c>
      <c r="U29" s="81">
        <v>124</v>
      </c>
      <c r="V29" s="82">
        <f t="shared" si="1"/>
        <v>239</v>
      </c>
    </row>
    <row r="30" spans="1:22" ht="16" thickBot="1" x14ac:dyDescent="0.25">
      <c r="A30" s="28">
        <v>26</v>
      </c>
      <c r="B30" s="20" t="s">
        <v>245</v>
      </c>
      <c r="C30" s="33">
        <v>35</v>
      </c>
      <c r="D30" s="20" t="s">
        <v>246</v>
      </c>
      <c r="E30" s="20" t="s">
        <v>247</v>
      </c>
      <c r="F30" s="20"/>
      <c r="G30" s="135">
        <v>1.5</v>
      </c>
      <c r="H30" s="31">
        <f>MBBR!P39</f>
        <v>0.5</v>
      </c>
      <c r="I30" s="136">
        <v>1.5</v>
      </c>
      <c r="J30" s="136">
        <v>1.5</v>
      </c>
      <c r="K30" s="31">
        <v>1.5</v>
      </c>
      <c r="L30" s="80">
        <f>TjörnR!M22</f>
        <v>0.38297872340425532</v>
      </c>
      <c r="M30" s="31">
        <v>1.5</v>
      </c>
      <c r="N30" s="83">
        <f>SUM(G30:M30)-G30-I30-J30</f>
        <v>3.8829787234042552</v>
      </c>
      <c r="O30" s="21">
        <f t="shared" si="0"/>
        <v>-235.11702127659575</v>
      </c>
      <c r="P30" s="81"/>
      <c r="Q30" s="81">
        <v>4</v>
      </c>
      <c r="R30" s="81">
        <v>34</v>
      </c>
      <c r="S30" s="81"/>
      <c r="T30" s="81">
        <v>77</v>
      </c>
      <c r="U30" s="81">
        <v>124</v>
      </c>
      <c r="V30" s="82">
        <f t="shared" si="1"/>
        <v>239</v>
      </c>
    </row>
    <row r="31" spans="1:22" ht="16" thickBot="1" x14ac:dyDescent="0.25">
      <c r="A31" s="28">
        <v>27</v>
      </c>
      <c r="B31" s="20" t="s">
        <v>67</v>
      </c>
      <c r="C31" s="20">
        <v>3</v>
      </c>
      <c r="D31" s="20" t="s">
        <v>68</v>
      </c>
      <c r="E31" s="20" t="s">
        <v>69</v>
      </c>
      <c r="F31" s="20" t="s">
        <v>26</v>
      </c>
      <c r="G31" s="31">
        <f>StoraO!J15</f>
        <v>1.0476190476190477</v>
      </c>
      <c r="H31" s="135">
        <v>1.5</v>
      </c>
      <c r="I31" s="135">
        <v>1.5</v>
      </c>
      <c r="J31" s="136">
        <v>1.5</v>
      </c>
      <c r="K31" s="31">
        <f>GOSR!J6</f>
        <v>0.375</v>
      </c>
      <c r="L31" s="80">
        <f>TjörnR!M46</f>
        <v>1.0212765957446808</v>
      </c>
      <c r="M31" s="31">
        <v>1.5</v>
      </c>
      <c r="N31" s="83">
        <f>SUM(G31:M31)-H31-I31-J31</f>
        <v>3.943895643363728</v>
      </c>
      <c r="O31" s="21">
        <f t="shared" si="0"/>
        <v>-235.05610435663627</v>
      </c>
      <c r="P31" s="81"/>
      <c r="Q31" s="81">
        <v>4</v>
      </c>
      <c r="R31" s="81">
        <v>34</v>
      </c>
      <c r="S31" s="81"/>
      <c r="T31" s="81">
        <v>77</v>
      </c>
      <c r="U31" s="81">
        <v>124</v>
      </c>
      <c r="V31" s="82">
        <f t="shared" si="1"/>
        <v>239</v>
      </c>
    </row>
    <row r="32" spans="1:22" ht="16" thickBot="1" x14ac:dyDescent="0.25">
      <c r="A32" s="28">
        <v>28</v>
      </c>
      <c r="B32" s="20" t="s">
        <v>140</v>
      </c>
      <c r="C32" s="33">
        <v>98</v>
      </c>
      <c r="D32" s="20" t="s">
        <v>260</v>
      </c>
      <c r="E32" s="20" t="s">
        <v>132</v>
      </c>
      <c r="F32" s="20" t="s">
        <v>133</v>
      </c>
      <c r="G32" s="135">
        <v>1.5</v>
      </c>
      <c r="H32" s="31">
        <f>MBBR!P72</f>
        <v>0.97142857142857142</v>
      </c>
      <c r="I32" s="88">
        <f>PaterN!L9</f>
        <v>0.11363636363636363</v>
      </c>
      <c r="J32" s="136">
        <v>1.5</v>
      </c>
      <c r="K32" s="135">
        <v>1.5</v>
      </c>
      <c r="L32" s="80">
        <v>1.5</v>
      </c>
      <c r="M32" s="31">
        <v>1.5</v>
      </c>
      <c r="N32" s="83">
        <f>SUM(G32:M32)-G32-J32-K32</f>
        <v>4.0850649350649348</v>
      </c>
      <c r="O32" s="21">
        <f t="shared" si="0"/>
        <v>-234.91493506493507</v>
      </c>
      <c r="P32" s="81"/>
      <c r="Q32" s="81">
        <v>4</v>
      </c>
      <c r="R32" s="81">
        <v>34</v>
      </c>
      <c r="S32" s="81"/>
      <c r="T32" s="81">
        <v>77</v>
      </c>
      <c r="U32" s="81">
        <v>124</v>
      </c>
      <c r="V32" s="82">
        <f t="shared" si="1"/>
        <v>239</v>
      </c>
    </row>
    <row r="33" spans="1:22" ht="16" thickBot="1" x14ac:dyDescent="0.25">
      <c r="A33" s="28">
        <v>29</v>
      </c>
      <c r="B33" s="38" t="s">
        <v>145</v>
      </c>
      <c r="C33" s="46">
        <v>393</v>
      </c>
      <c r="D33" s="39" t="s">
        <v>210</v>
      </c>
      <c r="E33" s="40" t="s">
        <v>211</v>
      </c>
      <c r="F33" s="41" t="s">
        <v>36</v>
      </c>
      <c r="G33" s="135">
        <v>1.5</v>
      </c>
      <c r="H33" s="31">
        <f>MBBR!P58</f>
        <v>0.77142857142857146</v>
      </c>
      <c r="I33" s="88">
        <f>PaterN!L19</f>
        <v>0.38636363636363635</v>
      </c>
      <c r="J33" s="136">
        <v>1.5</v>
      </c>
      <c r="K33" s="135">
        <v>1.5</v>
      </c>
      <c r="L33" s="80">
        <v>1.5</v>
      </c>
      <c r="M33" s="31">
        <v>1.5</v>
      </c>
      <c r="N33" s="83">
        <f>SUM(G33:M33)-G33-J33-K33</f>
        <v>4.1577922077922072</v>
      </c>
      <c r="O33" s="21">
        <f t="shared" si="0"/>
        <v>-234.8422077922078</v>
      </c>
      <c r="P33" s="81"/>
      <c r="Q33" s="81">
        <v>4</v>
      </c>
      <c r="R33" s="81">
        <v>34</v>
      </c>
      <c r="S33" s="81"/>
      <c r="T33" s="81">
        <v>77</v>
      </c>
      <c r="U33" s="81">
        <v>124</v>
      </c>
      <c r="V33" s="82">
        <f t="shared" si="1"/>
        <v>239</v>
      </c>
    </row>
    <row r="34" spans="1:22" ht="16" thickBot="1" x14ac:dyDescent="0.25">
      <c r="A34" s="28">
        <v>30</v>
      </c>
      <c r="B34" s="29" t="s">
        <v>112</v>
      </c>
      <c r="C34" s="30" t="s">
        <v>205</v>
      </c>
      <c r="D34" s="29" t="s">
        <v>206</v>
      </c>
      <c r="E34" s="29" t="s">
        <v>207</v>
      </c>
      <c r="F34" s="29"/>
      <c r="G34" s="135">
        <v>1.5</v>
      </c>
      <c r="H34" s="31">
        <f>MBBR!P54</f>
        <v>0.7142857142857143</v>
      </c>
      <c r="I34" s="31">
        <f>PaterN!L22</f>
        <v>0.47727272727272729</v>
      </c>
      <c r="J34" s="136">
        <v>1.5</v>
      </c>
      <c r="K34" s="135">
        <v>1.5</v>
      </c>
      <c r="L34" s="80">
        <v>1.5</v>
      </c>
      <c r="M34" s="31">
        <v>1.5</v>
      </c>
      <c r="N34" s="83">
        <f>SUM(G34:M34)-G34-J34-K34</f>
        <v>4.1915584415584419</v>
      </c>
      <c r="O34" s="21">
        <f t="shared" si="0"/>
        <v>-234.80844155844156</v>
      </c>
      <c r="P34" s="81"/>
      <c r="Q34" s="81">
        <v>4</v>
      </c>
      <c r="R34" s="81">
        <v>34</v>
      </c>
      <c r="S34" s="81"/>
      <c r="T34" s="81">
        <v>77</v>
      </c>
      <c r="U34" s="81">
        <v>124</v>
      </c>
      <c r="V34" s="82">
        <f t="shared" si="1"/>
        <v>239</v>
      </c>
    </row>
    <row r="35" spans="1:22" ht="16" thickBot="1" x14ac:dyDescent="0.25">
      <c r="A35" s="28">
        <v>31</v>
      </c>
      <c r="B35" s="20" t="s">
        <v>320</v>
      </c>
      <c r="C35" s="33">
        <v>108</v>
      </c>
      <c r="D35" s="20"/>
      <c r="E35" s="20" t="s">
        <v>321</v>
      </c>
      <c r="F35" s="20" t="s">
        <v>66</v>
      </c>
      <c r="G35" s="135">
        <v>1.5</v>
      </c>
      <c r="H35" s="135">
        <v>1.5</v>
      </c>
      <c r="I35" s="135">
        <v>1.5</v>
      </c>
      <c r="J35" s="88">
        <f>HermÖ!L26</f>
        <v>0.82499999999999996</v>
      </c>
      <c r="K35" s="31">
        <v>1.5</v>
      </c>
      <c r="L35" s="80">
        <f>TjörnR!M23</f>
        <v>0.40425531914893614</v>
      </c>
      <c r="M35" s="31">
        <v>1.5</v>
      </c>
      <c r="N35" s="83">
        <f>SUM(G35:M35)-G35-H35-I35</f>
        <v>4.2292553191489368</v>
      </c>
      <c r="O35" s="21">
        <f t="shared" si="0"/>
        <v>-234.77074468085107</v>
      </c>
      <c r="P35" s="81"/>
      <c r="Q35" s="81">
        <v>4</v>
      </c>
      <c r="R35" s="81">
        <v>34</v>
      </c>
      <c r="S35" s="81"/>
      <c r="T35" s="81">
        <v>77</v>
      </c>
      <c r="U35" s="81">
        <v>124</v>
      </c>
      <c r="V35" s="82">
        <f t="shared" si="1"/>
        <v>239</v>
      </c>
    </row>
    <row r="36" spans="1:22" ht="16" thickBot="1" x14ac:dyDescent="0.25">
      <c r="A36" s="28">
        <v>32</v>
      </c>
      <c r="B36" s="20" t="s">
        <v>112</v>
      </c>
      <c r="C36" s="33">
        <v>64</v>
      </c>
      <c r="D36" s="20" t="s">
        <v>152</v>
      </c>
      <c r="E36" s="20" t="s">
        <v>153</v>
      </c>
      <c r="F36" s="20" t="s">
        <v>58</v>
      </c>
      <c r="G36" s="135">
        <v>1.5</v>
      </c>
      <c r="H36" s="31">
        <f>MBBR!P26</f>
        <v>0.31428571428571428</v>
      </c>
      <c r="I36" s="135">
        <v>1.5</v>
      </c>
      <c r="J36" s="136">
        <v>1.5</v>
      </c>
      <c r="K36" s="31">
        <v>1.5</v>
      </c>
      <c r="L36" s="80">
        <v>1.5</v>
      </c>
      <c r="M36" s="31">
        <f>SistaC!K11</f>
        <v>0.92307692307692313</v>
      </c>
      <c r="N36" s="83">
        <f>SUM(G36:M36)-G36-I36-J36</f>
        <v>4.2373626373626365</v>
      </c>
      <c r="O36" s="21">
        <f t="shared" si="0"/>
        <v>-234.76263736263735</v>
      </c>
      <c r="P36" s="81"/>
      <c r="Q36" s="81">
        <v>4</v>
      </c>
      <c r="R36" s="81">
        <v>34</v>
      </c>
      <c r="S36" s="81"/>
      <c r="T36" s="81">
        <v>77</v>
      </c>
      <c r="U36" s="81">
        <v>124</v>
      </c>
      <c r="V36" s="82">
        <f t="shared" si="1"/>
        <v>239</v>
      </c>
    </row>
    <row r="37" spans="1:22" ht="16" thickBot="1" x14ac:dyDescent="0.25">
      <c r="A37" s="28">
        <v>33</v>
      </c>
      <c r="B37" s="11" t="s">
        <v>283</v>
      </c>
      <c r="C37" s="11">
        <v>84</v>
      </c>
      <c r="D37" s="11" t="s">
        <v>284</v>
      </c>
      <c r="E37" s="11" t="s">
        <v>285</v>
      </c>
      <c r="F37" s="11" t="s">
        <v>286</v>
      </c>
      <c r="G37" s="137">
        <v>1.5</v>
      </c>
      <c r="H37" s="135">
        <v>1.5</v>
      </c>
      <c r="I37" s="31">
        <f>PaterN!L20</f>
        <v>0.40909090909090912</v>
      </c>
      <c r="J37" s="136">
        <v>1.5</v>
      </c>
      <c r="K37" s="31">
        <v>1.5</v>
      </c>
      <c r="L37" s="80">
        <f>TjörnR!M48</f>
        <v>1.0212765957446808</v>
      </c>
      <c r="M37" s="31">
        <v>1.5</v>
      </c>
      <c r="N37" s="83">
        <f>SUM(G37:M37)-G37-H37-J37</f>
        <v>4.4303675048355906</v>
      </c>
      <c r="O37" s="21">
        <f t="shared" ref="O37:O68" si="2">N37-V37</f>
        <v>-234.5696324951644</v>
      </c>
      <c r="P37" s="81"/>
      <c r="Q37" s="81">
        <v>4</v>
      </c>
      <c r="R37" s="81">
        <v>34</v>
      </c>
      <c r="S37" s="81"/>
      <c r="T37" s="81">
        <v>77</v>
      </c>
      <c r="U37" s="81">
        <v>124</v>
      </c>
      <c r="V37" s="82">
        <f t="shared" ref="V37:V68" si="3">SUM(P37:U37)</f>
        <v>239</v>
      </c>
    </row>
    <row r="38" spans="1:22" ht="16" thickBot="1" x14ac:dyDescent="0.25">
      <c r="A38" s="28">
        <v>34</v>
      </c>
      <c r="B38" s="20" t="s">
        <v>76</v>
      </c>
      <c r="C38" s="33">
        <v>12443</v>
      </c>
      <c r="D38" s="20" t="s">
        <v>99</v>
      </c>
      <c r="E38" s="20" t="s">
        <v>100</v>
      </c>
      <c r="F38" s="20" t="s">
        <v>101</v>
      </c>
      <c r="G38" s="137">
        <v>1.5</v>
      </c>
      <c r="H38" s="31">
        <f>MBBR!P5</f>
        <v>1.4285714285714285E-2</v>
      </c>
      <c r="I38" s="135">
        <v>1.5</v>
      </c>
      <c r="J38" s="136">
        <v>1.5</v>
      </c>
      <c r="K38" s="31">
        <v>1.5</v>
      </c>
      <c r="L38" s="80">
        <v>1.5</v>
      </c>
      <c r="M38" s="31">
        <v>1.5</v>
      </c>
      <c r="N38" s="83">
        <f>SUM(G38:M38)-G38-I38-J38</f>
        <v>4.5142857142857142</v>
      </c>
      <c r="O38" s="21">
        <f t="shared" si="2"/>
        <v>-234.48571428571429</v>
      </c>
      <c r="P38" s="81"/>
      <c r="Q38" s="81">
        <v>4</v>
      </c>
      <c r="R38" s="81">
        <v>34</v>
      </c>
      <c r="S38" s="81"/>
      <c r="T38" s="81">
        <v>77</v>
      </c>
      <c r="U38" s="81">
        <v>124</v>
      </c>
      <c r="V38" s="82">
        <f t="shared" si="3"/>
        <v>239</v>
      </c>
    </row>
    <row r="39" spans="1:22" ht="16" thickBot="1" x14ac:dyDescent="0.25">
      <c r="A39" s="28">
        <v>35</v>
      </c>
      <c r="B39" s="65" t="s">
        <v>185</v>
      </c>
      <c r="C39" s="66">
        <v>187</v>
      </c>
      <c r="D39" s="65" t="s">
        <v>186</v>
      </c>
      <c r="E39" s="65" t="s">
        <v>158</v>
      </c>
      <c r="F39" s="65"/>
      <c r="G39" s="135">
        <v>1.5</v>
      </c>
      <c r="H39" s="31">
        <f>MBBR!P6</f>
        <v>2.8571428571428571E-2</v>
      </c>
      <c r="I39" s="135">
        <v>1.5</v>
      </c>
      <c r="J39" s="138">
        <v>1.5</v>
      </c>
      <c r="K39" s="31">
        <v>1.5</v>
      </c>
      <c r="L39" s="80">
        <v>1.5</v>
      </c>
      <c r="M39" s="31">
        <v>1.5</v>
      </c>
      <c r="N39" s="83">
        <f>SUM(G39:M39)-G39-I39-J39</f>
        <v>4.5285714285714285</v>
      </c>
      <c r="O39" s="21">
        <f t="shared" si="2"/>
        <v>-234.47142857142856</v>
      </c>
      <c r="P39" s="81"/>
      <c r="Q39" s="81">
        <v>4</v>
      </c>
      <c r="R39" s="81">
        <v>34</v>
      </c>
      <c r="S39" s="81"/>
      <c r="T39" s="81">
        <v>77</v>
      </c>
      <c r="U39" s="81">
        <v>124</v>
      </c>
      <c r="V39" s="82">
        <f t="shared" si="3"/>
        <v>239</v>
      </c>
    </row>
    <row r="40" spans="1:22" ht="16" thickBot="1" x14ac:dyDescent="0.25">
      <c r="A40" s="28">
        <v>36</v>
      </c>
      <c r="B40" s="42" t="s">
        <v>76</v>
      </c>
      <c r="C40" s="43">
        <v>12143</v>
      </c>
      <c r="D40" s="44" t="s">
        <v>77</v>
      </c>
      <c r="E40" s="37" t="s">
        <v>78</v>
      </c>
      <c r="F40" s="45"/>
      <c r="G40" s="137">
        <v>1.5</v>
      </c>
      <c r="H40" s="31">
        <f>MBBR!P7</f>
        <v>4.2857142857142858E-2</v>
      </c>
      <c r="I40" s="135">
        <v>1.5</v>
      </c>
      <c r="J40" s="136">
        <v>1.5</v>
      </c>
      <c r="K40" s="31">
        <v>1.5</v>
      </c>
      <c r="L40" s="80">
        <v>1.5</v>
      </c>
      <c r="M40" s="31">
        <v>1.5</v>
      </c>
      <c r="N40" s="83">
        <f>SUM(G40:M40)-G40-I40-J40</f>
        <v>4.5428571428571427</v>
      </c>
      <c r="O40" s="21">
        <f t="shared" si="2"/>
        <v>-234.45714285714286</v>
      </c>
      <c r="P40" s="81"/>
      <c r="Q40" s="81">
        <v>4</v>
      </c>
      <c r="R40" s="81">
        <v>34</v>
      </c>
      <c r="S40" s="81"/>
      <c r="T40" s="81">
        <v>77</v>
      </c>
      <c r="U40" s="81">
        <v>124</v>
      </c>
      <c r="V40" s="82">
        <f t="shared" si="3"/>
        <v>239</v>
      </c>
    </row>
    <row r="41" spans="1:22" ht="16" thickBot="1" x14ac:dyDescent="0.25">
      <c r="A41" s="69">
        <v>37</v>
      </c>
      <c r="B41" s="20" t="s">
        <v>268</v>
      </c>
      <c r="C41" s="20">
        <v>425</v>
      </c>
      <c r="D41" s="20" t="s">
        <v>269</v>
      </c>
      <c r="E41" s="20" t="s">
        <v>270</v>
      </c>
      <c r="F41" s="20" t="s">
        <v>271</v>
      </c>
      <c r="G41" s="135">
        <v>1.5</v>
      </c>
      <c r="H41" s="135">
        <v>1.5</v>
      </c>
      <c r="I41" s="31">
        <f>PaterN!L6</f>
        <v>4.5454545454545456E-2</v>
      </c>
      <c r="J41" s="136">
        <v>1.5</v>
      </c>
      <c r="K41" s="31">
        <v>1.5</v>
      </c>
      <c r="L41" s="80">
        <v>1.5</v>
      </c>
      <c r="M41" s="31">
        <v>1.5</v>
      </c>
      <c r="N41" s="83">
        <f>SUM(G41:M41)-G41-H41-J41</f>
        <v>4.545454545454545</v>
      </c>
      <c r="O41" s="21">
        <f t="shared" si="2"/>
        <v>-234.45454545454547</v>
      </c>
      <c r="P41" s="81"/>
      <c r="Q41" s="81">
        <v>4</v>
      </c>
      <c r="R41" s="81">
        <v>34</v>
      </c>
      <c r="S41" s="81"/>
      <c r="T41" s="81">
        <v>77</v>
      </c>
      <c r="U41" s="81">
        <v>124</v>
      </c>
      <c r="V41" s="82">
        <f t="shared" si="3"/>
        <v>239</v>
      </c>
    </row>
    <row r="42" spans="1:22" ht="16" thickBot="1" x14ac:dyDescent="0.25">
      <c r="A42" s="69">
        <v>38</v>
      </c>
      <c r="B42" s="20" t="s">
        <v>63</v>
      </c>
      <c r="C42" s="20">
        <v>197</v>
      </c>
      <c r="D42" s="20" t="s">
        <v>65</v>
      </c>
      <c r="E42" s="20" t="s">
        <v>64</v>
      </c>
      <c r="F42" s="20" t="s">
        <v>66</v>
      </c>
      <c r="G42" s="80">
        <f>StoraO!J13</f>
        <v>0.8571428571428571</v>
      </c>
      <c r="H42" s="135">
        <v>1.5</v>
      </c>
      <c r="I42" s="135">
        <v>1.5</v>
      </c>
      <c r="J42" s="136">
        <v>1.5</v>
      </c>
      <c r="K42" s="31">
        <v>1.5</v>
      </c>
      <c r="L42" s="80">
        <v>1.5</v>
      </c>
      <c r="M42" s="31">
        <f>SistaC!K9</f>
        <v>0.69230769230769229</v>
      </c>
      <c r="N42" s="83">
        <f>SUM(G42:M42)-H42-I42-J42</f>
        <v>4.5494505494505493</v>
      </c>
      <c r="O42" s="21">
        <f t="shared" si="2"/>
        <v>-234.45054945054946</v>
      </c>
      <c r="P42" s="81"/>
      <c r="Q42" s="81">
        <v>4</v>
      </c>
      <c r="R42" s="81">
        <v>34</v>
      </c>
      <c r="S42" s="81"/>
      <c r="T42" s="81">
        <v>77</v>
      </c>
      <c r="U42" s="81">
        <v>124</v>
      </c>
      <c r="V42" s="82">
        <f t="shared" si="3"/>
        <v>239</v>
      </c>
    </row>
    <row r="43" spans="1:22" ht="16" thickBot="1" x14ac:dyDescent="0.25">
      <c r="A43" s="69">
        <v>39</v>
      </c>
      <c r="B43" s="42" t="s">
        <v>105</v>
      </c>
      <c r="C43" s="43">
        <v>191</v>
      </c>
      <c r="D43" s="44" t="s">
        <v>106</v>
      </c>
      <c r="E43" s="37" t="s">
        <v>107</v>
      </c>
      <c r="F43" s="45"/>
      <c r="G43" s="135">
        <v>1.5</v>
      </c>
      <c r="H43" s="31">
        <f>MBBR!P8</f>
        <v>5.7142857142857141E-2</v>
      </c>
      <c r="I43" s="135">
        <v>1.5</v>
      </c>
      <c r="J43" s="136">
        <v>1.5</v>
      </c>
      <c r="K43" s="31">
        <v>1.5</v>
      </c>
      <c r="L43" s="80">
        <v>1.5</v>
      </c>
      <c r="M43" s="31">
        <v>1.5</v>
      </c>
      <c r="N43" s="83">
        <f>SUM(G43:M43)-G43-I43-J43</f>
        <v>4.5571428571428569</v>
      </c>
      <c r="O43" s="21">
        <f t="shared" si="2"/>
        <v>-234.44285714285715</v>
      </c>
      <c r="P43" s="81"/>
      <c r="Q43" s="81">
        <v>4</v>
      </c>
      <c r="R43" s="81">
        <v>34</v>
      </c>
      <c r="S43" s="81"/>
      <c r="T43" s="81">
        <v>77</v>
      </c>
      <c r="U43" s="81">
        <v>124</v>
      </c>
      <c r="V43" s="82">
        <f t="shared" si="3"/>
        <v>239</v>
      </c>
    </row>
    <row r="44" spans="1:22" ht="16" thickBot="1" x14ac:dyDescent="0.25">
      <c r="A44" s="69">
        <v>40</v>
      </c>
      <c r="B44" s="20" t="s">
        <v>84</v>
      </c>
      <c r="C44" s="20">
        <v>34</v>
      </c>
      <c r="D44" s="20" t="s">
        <v>398</v>
      </c>
      <c r="E44" s="20" t="s">
        <v>374</v>
      </c>
      <c r="F44" s="20" t="s">
        <v>375</v>
      </c>
      <c r="G44" s="135">
        <v>1.5</v>
      </c>
      <c r="H44" s="135">
        <v>1.5</v>
      </c>
      <c r="I44" s="135">
        <v>1.5</v>
      </c>
      <c r="J44" s="88">
        <v>1.5</v>
      </c>
      <c r="K44" s="31">
        <v>1.5</v>
      </c>
      <c r="L44" s="80">
        <f>TjörnR!M7</f>
        <v>6.3829787234042548E-2</v>
      </c>
      <c r="M44" s="31">
        <v>1.5</v>
      </c>
      <c r="N44" s="83">
        <f>SUM(G44:M44)-G44-H44-I44</f>
        <v>4.5638297872340416</v>
      </c>
      <c r="O44" s="21">
        <f t="shared" si="2"/>
        <v>-234.43617021276594</v>
      </c>
      <c r="P44" s="81"/>
      <c r="Q44" s="81">
        <v>4</v>
      </c>
      <c r="R44" s="81">
        <v>34</v>
      </c>
      <c r="S44" s="81"/>
      <c r="T44" s="81">
        <v>77</v>
      </c>
      <c r="U44" s="81">
        <v>124</v>
      </c>
      <c r="V44" s="82">
        <f t="shared" si="3"/>
        <v>239</v>
      </c>
    </row>
    <row r="45" spans="1:22" ht="16" thickBot="1" x14ac:dyDescent="0.25">
      <c r="A45" s="69">
        <v>41</v>
      </c>
      <c r="B45" s="20" t="s">
        <v>71</v>
      </c>
      <c r="C45" s="20">
        <v>29</v>
      </c>
      <c r="D45" s="20" t="s">
        <v>72</v>
      </c>
      <c r="E45" s="20" t="s">
        <v>290</v>
      </c>
      <c r="F45" s="20" t="s">
        <v>73</v>
      </c>
      <c r="G45" s="31">
        <f>StoraO!J14</f>
        <v>0.90476190476190477</v>
      </c>
      <c r="H45" s="135">
        <v>1.5</v>
      </c>
      <c r="I45" s="31">
        <f>PaterN!L25</f>
        <v>0.65909090909090906</v>
      </c>
      <c r="J45" s="136">
        <v>1.5</v>
      </c>
      <c r="K45" s="135">
        <v>1.5</v>
      </c>
      <c r="L45" s="80">
        <v>1.5</v>
      </c>
      <c r="M45" s="31">
        <v>1.5</v>
      </c>
      <c r="N45" s="83">
        <f>SUM(G45:M45)-H45-J45-K45</f>
        <v>4.5638528138528134</v>
      </c>
      <c r="O45" s="21">
        <f t="shared" si="2"/>
        <v>-234.4361471861472</v>
      </c>
      <c r="P45" s="81"/>
      <c r="Q45" s="81">
        <v>4</v>
      </c>
      <c r="R45" s="81">
        <v>34</v>
      </c>
      <c r="S45" s="81"/>
      <c r="T45" s="81">
        <v>77</v>
      </c>
      <c r="U45" s="81">
        <v>124</v>
      </c>
      <c r="V45" s="82">
        <f t="shared" si="3"/>
        <v>239</v>
      </c>
    </row>
    <row r="46" spans="1:22" ht="16" thickBot="1" x14ac:dyDescent="0.25">
      <c r="A46" s="69">
        <v>42</v>
      </c>
      <c r="B46" s="20" t="s">
        <v>225</v>
      </c>
      <c r="C46" s="33">
        <v>16000</v>
      </c>
      <c r="D46" s="20" t="s">
        <v>226</v>
      </c>
      <c r="E46" s="20" t="s">
        <v>227</v>
      </c>
      <c r="F46" s="20"/>
      <c r="G46" s="135">
        <v>1.5</v>
      </c>
      <c r="H46" s="31">
        <f>MBBR!P9</f>
        <v>7.1428571428571425E-2</v>
      </c>
      <c r="I46" s="135">
        <v>1.5</v>
      </c>
      <c r="J46" s="136">
        <v>1.5</v>
      </c>
      <c r="K46" s="31">
        <v>1.5</v>
      </c>
      <c r="L46" s="80">
        <v>1.5</v>
      </c>
      <c r="M46" s="31">
        <v>1.5</v>
      </c>
      <c r="N46" s="83">
        <f t="shared" ref="N46:N52" si="4">SUM(G46:M46)-G46-I46-J46</f>
        <v>4.5714285714285712</v>
      </c>
      <c r="O46" s="21">
        <f t="shared" si="2"/>
        <v>-234.42857142857142</v>
      </c>
      <c r="P46" s="81"/>
      <c r="Q46" s="81">
        <v>4</v>
      </c>
      <c r="R46" s="81">
        <v>34</v>
      </c>
      <c r="S46" s="81"/>
      <c r="T46" s="81">
        <v>77</v>
      </c>
      <c r="U46" s="81">
        <v>124</v>
      </c>
      <c r="V46" s="82">
        <f t="shared" si="3"/>
        <v>239</v>
      </c>
    </row>
    <row r="47" spans="1:22" ht="16" thickBot="1" x14ac:dyDescent="0.25">
      <c r="A47" s="69">
        <v>43</v>
      </c>
      <c r="B47" s="20" t="s">
        <v>75</v>
      </c>
      <c r="C47" s="20">
        <v>4640</v>
      </c>
      <c r="D47" s="20" t="s">
        <v>187</v>
      </c>
      <c r="E47" s="20" t="s">
        <v>188</v>
      </c>
      <c r="F47" s="20"/>
      <c r="G47" s="135">
        <v>1.5</v>
      </c>
      <c r="H47" s="31">
        <f>MBBR!P10</f>
        <v>8.5714285714285715E-2</v>
      </c>
      <c r="I47" s="135">
        <v>1.5</v>
      </c>
      <c r="J47" s="136">
        <v>1.5</v>
      </c>
      <c r="K47" s="31">
        <v>1.5</v>
      </c>
      <c r="L47" s="80">
        <v>1.5</v>
      </c>
      <c r="M47" s="31">
        <v>1.5</v>
      </c>
      <c r="N47" s="83">
        <f t="shared" si="4"/>
        <v>4.5857142857142854</v>
      </c>
      <c r="O47" s="21">
        <f t="shared" si="2"/>
        <v>-234.41428571428571</v>
      </c>
      <c r="P47" s="81"/>
      <c r="Q47" s="81">
        <v>4</v>
      </c>
      <c r="R47" s="81">
        <v>34</v>
      </c>
      <c r="S47" s="81"/>
      <c r="T47" s="81">
        <v>77</v>
      </c>
      <c r="U47" s="81">
        <v>124</v>
      </c>
      <c r="V47" s="82">
        <f t="shared" si="3"/>
        <v>239</v>
      </c>
    </row>
    <row r="48" spans="1:22" ht="16" thickBot="1" x14ac:dyDescent="0.25">
      <c r="A48" s="69">
        <v>44</v>
      </c>
      <c r="B48" s="20" t="s">
        <v>189</v>
      </c>
      <c r="C48" s="33">
        <v>7444</v>
      </c>
      <c r="D48" s="20" t="s">
        <v>190</v>
      </c>
      <c r="E48" s="20" t="s">
        <v>191</v>
      </c>
      <c r="F48" s="20"/>
      <c r="G48" s="135">
        <v>1.5</v>
      </c>
      <c r="H48" s="31">
        <f>MBBR!P11</f>
        <v>0.1</v>
      </c>
      <c r="I48" s="135">
        <v>1.5</v>
      </c>
      <c r="J48" s="136">
        <v>1.5</v>
      </c>
      <c r="K48" s="31">
        <v>1.5</v>
      </c>
      <c r="L48" s="80">
        <v>1.5</v>
      </c>
      <c r="M48" s="31">
        <v>1.5</v>
      </c>
      <c r="N48" s="83">
        <f t="shared" si="4"/>
        <v>4.5999999999999996</v>
      </c>
      <c r="O48" s="21">
        <f t="shared" si="2"/>
        <v>-234.4</v>
      </c>
      <c r="P48" s="81"/>
      <c r="Q48" s="81">
        <v>4</v>
      </c>
      <c r="R48" s="81">
        <v>34</v>
      </c>
      <c r="S48" s="81"/>
      <c r="T48" s="81">
        <v>77</v>
      </c>
      <c r="U48" s="81">
        <v>124</v>
      </c>
      <c r="V48" s="82">
        <f t="shared" si="3"/>
        <v>239</v>
      </c>
    </row>
    <row r="49" spans="1:22" ht="16" thickBot="1" x14ac:dyDescent="0.25">
      <c r="A49" s="69">
        <v>45</v>
      </c>
      <c r="B49" s="20" t="s">
        <v>162</v>
      </c>
      <c r="C49" s="33">
        <v>10008</v>
      </c>
      <c r="D49" s="20" t="s">
        <v>163</v>
      </c>
      <c r="E49" s="20" t="s">
        <v>164</v>
      </c>
      <c r="F49" s="20" t="s">
        <v>165</v>
      </c>
      <c r="G49" s="135">
        <v>1.5</v>
      </c>
      <c r="H49" s="31">
        <f>MBBR!P47</f>
        <v>0.61428571428571432</v>
      </c>
      <c r="I49" s="135">
        <v>1.5</v>
      </c>
      <c r="J49" s="138">
        <v>1.5</v>
      </c>
      <c r="K49" s="31">
        <f>GOSR!J11</f>
        <v>1</v>
      </c>
      <c r="L49" s="80">
        <v>1.5</v>
      </c>
      <c r="M49" s="31">
        <v>1.5</v>
      </c>
      <c r="N49" s="83">
        <f t="shared" si="4"/>
        <v>4.6142857142857139</v>
      </c>
      <c r="O49" s="21">
        <f t="shared" si="2"/>
        <v>-234.3857142857143</v>
      </c>
      <c r="P49" s="81"/>
      <c r="Q49" s="81">
        <v>4</v>
      </c>
      <c r="R49" s="81">
        <v>34</v>
      </c>
      <c r="S49" s="81"/>
      <c r="T49" s="81">
        <v>77</v>
      </c>
      <c r="U49" s="81">
        <v>124</v>
      </c>
      <c r="V49" s="82">
        <f t="shared" si="3"/>
        <v>239</v>
      </c>
    </row>
    <row r="50" spans="1:22" ht="16" thickBot="1" x14ac:dyDescent="0.25">
      <c r="A50" s="69">
        <v>46</v>
      </c>
      <c r="B50" s="42" t="s">
        <v>125</v>
      </c>
      <c r="C50" s="43">
        <v>9503</v>
      </c>
      <c r="D50" s="44" t="s">
        <v>228</v>
      </c>
      <c r="E50" s="37" t="s">
        <v>229</v>
      </c>
      <c r="F50" s="45"/>
      <c r="G50" s="135">
        <v>1.5</v>
      </c>
      <c r="H50" s="31">
        <f>MBBR!P12</f>
        <v>0.11428571428571428</v>
      </c>
      <c r="I50" s="135">
        <v>1.5</v>
      </c>
      <c r="J50" s="136">
        <v>1.5</v>
      </c>
      <c r="K50" s="31">
        <v>1.5</v>
      </c>
      <c r="L50" s="80">
        <v>1.5</v>
      </c>
      <c r="M50" s="31">
        <v>1.5</v>
      </c>
      <c r="N50" s="83">
        <f t="shared" si="4"/>
        <v>4.6142857142857139</v>
      </c>
      <c r="O50" s="21">
        <f t="shared" si="2"/>
        <v>-234.3857142857143</v>
      </c>
      <c r="P50" s="81"/>
      <c r="Q50" s="81">
        <v>4</v>
      </c>
      <c r="R50" s="81">
        <v>34</v>
      </c>
      <c r="S50" s="81"/>
      <c r="T50" s="81">
        <v>77</v>
      </c>
      <c r="U50" s="81">
        <v>124</v>
      </c>
      <c r="V50" s="82">
        <f t="shared" si="3"/>
        <v>239</v>
      </c>
    </row>
    <row r="51" spans="1:22" ht="16" thickBot="1" x14ac:dyDescent="0.25">
      <c r="A51" s="69">
        <v>47</v>
      </c>
      <c r="B51" s="38" t="s">
        <v>75</v>
      </c>
      <c r="C51" s="46">
        <v>2</v>
      </c>
      <c r="D51" s="39" t="s">
        <v>88</v>
      </c>
      <c r="E51" s="40" t="s">
        <v>89</v>
      </c>
      <c r="F51" s="41"/>
      <c r="G51" s="137">
        <v>1.5</v>
      </c>
      <c r="H51" s="31">
        <f>MBBR!P13</f>
        <v>0.12857142857142856</v>
      </c>
      <c r="I51" s="135">
        <v>1.5</v>
      </c>
      <c r="J51" s="136">
        <v>1.5</v>
      </c>
      <c r="K51" s="31">
        <v>1.5</v>
      </c>
      <c r="L51" s="80">
        <v>1.5</v>
      </c>
      <c r="M51" s="31">
        <v>1.5</v>
      </c>
      <c r="N51" s="83">
        <f t="shared" si="4"/>
        <v>4.6285714285714281</v>
      </c>
      <c r="O51" s="21">
        <f t="shared" si="2"/>
        <v>-234.37142857142857</v>
      </c>
      <c r="P51" s="81"/>
      <c r="Q51" s="81">
        <v>4</v>
      </c>
      <c r="R51" s="81">
        <v>34</v>
      </c>
      <c r="S51" s="81"/>
      <c r="T51" s="81">
        <v>77</v>
      </c>
      <c r="U51" s="81">
        <v>124</v>
      </c>
      <c r="V51" s="82">
        <f t="shared" si="3"/>
        <v>239</v>
      </c>
    </row>
    <row r="52" spans="1:22" ht="16" thickBot="1" x14ac:dyDescent="0.25">
      <c r="A52" s="69">
        <v>48</v>
      </c>
      <c r="B52" s="29" t="s">
        <v>105</v>
      </c>
      <c r="C52" s="30" t="s">
        <v>192</v>
      </c>
      <c r="D52" s="29" t="s">
        <v>193</v>
      </c>
      <c r="E52" s="29" t="s">
        <v>194</v>
      </c>
      <c r="F52" s="29"/>
      <c r="G52" s="135">
        <v>1.5</v>
      </c>
      <c r="H52" s="31">
        <f>MBBR!P14</f>
        <v>0.14285714285714285</v>
      </c>
      <c r="I52" s="135">
        <v>1.5</v>
      </c>
      <c r="J52" s="136">
        <v>1.5</v>
      </c>
      <c r="K52" s="31">
        <v>1.5</v>
      </c>
      <c r="L52" s="80">
        <v>1.5</v>
      </c>
      <c r="M52" s="31">
        <v>1.5</v>
      </c>
      <c r="N52" s="83">
        <f t="shared" si="4"/>
        <v>4.6428571428571423</v>
      </c>
      <c r="O52" s="21">
        <f t="shared" si="2"/>
        <v>-234.35714285714286</v>
      </c>
      <c r="P52" s="81"/>
      <c r="Q52" s="81">
        <v>4</v>
      </c>
      <c r="R52" s="81">
        <v>34</v>
      </c>
      <c r="S52" s="81"/>
      <c r="T52" s="81">
        <v>77</v>
      </c>
      <c r="U52" s="81">
        <v>124</v>
      </c>
      <c r="V52" s="82">
        <f t="shared" si="3"/>
        <v>239</v>
      </c>
    </row>
    <row r="53" spans="1:22" ht="16" thickBot="1" x14ac:dyDescent="0.25">
      <c r="A53" s="69">
        <v>49</v>
      </c>
      <c r="B53" s="20" t="s">
        <v>376</v>
      </c>
      <c r="C53" s="20">
        <v>9618</v>
      </c>
      <c r="D53" s="20" t="s">
        <v>399</v>
      </c>
      <c r="E53" s="20" t="s">
        <v>377</v>
      </c>
      <c r="F53" s="20" t="s">
        <v>378</v>
      </c>
      <c r="G53" s="135">
        <v>1.5</v>
      </c>
      <c r="H53" s="135">
        <v>1.5</v>
      </c>
      <c r="I53" s="135">
        <v>1.5</v>
      </c>
      <c r="J53" s="97">
        <v>1.5</v>
      </c>
      <c r="K53" s="31">
        <v>1.5</v>
      </c>
      <c r="L53" s="80">
        <f>TjörnR!M11</f>
        <v>0.14893617021276595</v>
      </c>
      <c r="M53" s="31">
        <v>1.5</v>
      </c>
      <c r="N53" s="83">
        <f>SUM(G53:M53)-G53-H53-I53</f>
        <v>4.6489361702127656</v>
      </c>
      <c r="O53" s="21">
        <f t="shared" si="2"/>
        <v>-234.35106382978722</v>
      </c>
      <c r="P53" s="81"/>
      <c r="Q53" s="81">
        <v>4</v>
      </c>
      <c r="R53" s="81">
        <v>34</v>
      </c>
      <c r="S53" s="81"/>
      <c r="T53" s="81">
        <v>77</v>
      </c>
      <c r="U53" s="81">
        <v>124</v>
      </c>
      <c r="V53" s="82">
        <f t="shared" si="3"/>
        <v>239</v>
      </c>
    </row>
    <row r="54" spans="1:22" ht="16" thickBot="1" x14ac:dyDescent="0.25">
      <c r="A54" s="69">
        <v>50</v>
      </c>
      <c r="B54" s="20" t="s">
        <v>94</v>
      </c>
      <c r="C54" s="33">
        <v>3</v>
      </c>
      <c r="D54" s="20" t="s">
        <v>95</v>
      </c>
      <c r="E54" s="20" t="s">
        <v>96</v>
      </c>
      <c r="F54" s="20" t="s">
        <v>26</v>
      </c>
      <c r="G54" s="135">
        <v>1.5</v>
      </c>
      <c r="H54" s="31">
        <f>MBBR!P50</f>
        <v>0.65714285714285714</v>
      </c>
      <c r="I54" s="135">
        <v>1.5</v>
      </c>
      <c r="J54" s="136">
        <v>1.5</v>
      </c>
      <c r="K54" s="31">
        <v>1.5</v>
      </c>
      <c r="L54" s="80">
        <f>TjörnR!M42</f>
        <v>1.0212765957446808</v>
      </c>
      <c r="M54" s="31">
        <v>1.5</v>
      </c>
      <c r="N54" s="83">
        <f>SUM(G54:M54)-G54-I54-J54</f>
        <v>4.6784194528875371</v>
      </c>
      <c r="O54" s="21">
        <f t="shared" si="2"/>
        <v>-234.32158054711246</v>
      </c>
      <c r="P54" s="81"/>
      <c r="Q54" s="81">
        <v>4</v>
      </c>
      <c r="R54" s="81">
        <v>34</v>
      </c>
      <c r="S54" s="81"/>
      <c r="T54" s="81">
        <v>77</v>
      </c>
      <c r="U54" s="81">
        <v>124</v>
      </c>
      <c r="V54" s="82">
        <f t="shared" si="3"/>
        <v>239</v>
      </c>
    </row>
    <row r="55" spans="1:22" ht="16" thickBot="1" x14ac:dyDescent="0.25">
      <c r="A55" s="69">
        <v>51</v>
      </c>
      <c r="B55" s="38" t="s">
        <v>112</v>
      </c>
      <c r="C55" s="46">
        <v>23</v>
      </c>
      <c r="D55" s="39" t="s">
        <v>216</v>
      </c>
      <c r="E55" s="40" t="s">
        <v>217</v>
      </c>
      <c r="F55" s="41"/>
      <c r="G55" s="135">
        <v>1.5</v>
      </c>
      <c r="H55" s="31">
        <f>MBBR!P68</f>
        <v>0.91428571428571426</v>
      </c>
      <c r="I55" s="135">
        <v>1.5</v>
      </c>
      <c r="J55" s="138">
        <v>1.5</v>
      </c>
      <c r="K55" s="31">
        <v>1.5</v>
      </c>
      <c r="L55" s="80">
        <v>1.5</v>
      </c>
      <c r="M55" s="31">
        <f>SistaC!K10</f>
        <v>0.76923076923076927</v>
      </c>
      <c r="N55" s="83">
        <f>SUM(G55:M55)-G55-I55-J55</f>
        <v>4.6835164835164846</v>
      </c>
      <c r="O55" s="21">
        <f t="shared" si="2"/>
        <v>-234.31648351648352</v>
      </c>
      <c r="P55" s="81"/>
      <c r="Q55" s="81">
        <v>4</v>
      </c>
      <c r="R55" s="81">
        <v>34</v>
      </c>
      <c r="S55" s="81"/>
      <c r="T55" s="81">
        <v>77</v>
      </c>
      <c r="U55" s="81">
        <v>124</v>
      </c>
      <c r="V55" s="82">
        <f t="shared" si="3"/>
        <v>239</v>
      </c>
    </row>
    <row r="56" spans="1:22" ht="16" thickBot="1" x14ac:dyDescent="0.25">
      <c r="A56" s="69">
        <v>52</v>
      </c>
      <c r="B56" s="20" t="s">
        <v>159</v>
      </c>
      <c r="C56" s="33">
        <v>3810</v>
      </c>
      <c r="D56" s="20" t="s">
        <v>230</v>
      </c>
      <c r="E56" s="20" t="s">
        <v>231</v>
      </c>
      <c r="F56" s="20"/>
      <c r="G56" s="135">
        <v>1.5</v>
      </c>
      <c r="H56" s="31">
        <f>MBBR!P17</f>
        <v>0.18571428571428572</v>
      </c>
      <c r="I56" s="136">
        <v>1.5</v>
      </c>
      <c r="J56" s="136">
        <v>1.5</v>
      </c>
      <c r="K56" s="31">
        <v>1.5</v>
      </c>
      <c r="L56" s="80">
        <v>1.5</v>
      </c>
      <c r="M56" s="31">
        <v>1.5</v>
      </c>
      <c r="N56" s="83">
        <f>SUM(G56:M56)-G56-I56-J56</f>
        <v>4.6857142857142868</v>
      </c>
      <c r="O56" s="21">
        <f t="shared" si="2"/>
        <v>-234.31428571428572</v>
      </c>
      <c r="P56" s="81"/>
      <c r="Q56" s="81">
        <v>4</v>
      </c>
      <c r="R56" s="81">
        <v>34</v>
      </c>
      <c r="S56" s="81"/>
      <c r="T56" s="81">
        <v>77</v>
      </c>
      <c r="U56" s="81">
        <v>124</v>
      </c>
      <c r="V56" s="82">
        <f t="shared" si="3"/>
        <v>239</v>
      </c>
    </row>
    <row r="57" spans="1:22" ht="16" thickBot="1" x14ac:dyDescent="0.25">
      <c r="A57" s="69">
        <v>53</v>
      </c>
      <c r="B57" s="42" t="s">
        <v>75</v>
      </c>
      <c r="C57" s="43">
        <v>622</v>
      </c>
      <c r="D57" s="44" t="s">
        <v>79</v>
      </c>
      <c r="E57" s="37" t="s">
        <v>80</v>
      </c>
      <c r="F57" s="45" t="s">
        <v>81</v>
      </c>
      <c r="G57" s="135">
        <v>1.5</v>
      </c>
      <c r="H57" s="31">
        <f>MBBR!P18</f>
        <v>0.2</v>
      </c>
      <c r="I57" s="135">
        <v>1.5</v>
      </c>
      <c r="J57" s="136">
        <v>1.5</v>
      </c>
      <c r="K57" s="31">
        <v>1.5</v>
      </c>
      <c r="L57" s="80">
        <v>1.5</v>
      </c>
      <c r="M57" s="31">
        <v>1.5</v>
      </c>
      <c r="N57" s="83">
        <f>SUM(G57:M57)-G57-I57-J57</f>
        <v>4.6999999999999993</v>
      </c>
      <c r="O57" s="21">
        <f t="shared" si="2"/>
        <v>-234.3</v>
      </c>
      <c r="P57" s="81"/>
      <c r="Q57" s="81">
        <v>4</v>
      </c>
      <c r="R57" s="81">
        <v>34</v>
      </c>
      <c r="S57" s="81"/>
      <c r="T57" s="81">
        <v>77</v>
      </c>
      <c r="U57" s="81">
        <v>124</v>
      </c>
      <c r="V57" s="82">
        <f t="shared" si="3"/>
        <v>239</v>
      </c>
    </row>
    <row r="58" spans="1:22" ht="16" thickBot="1" x14ac:dyDescent="0.25">
      <c r="A58" s="69">
        <v>54</v>
      </c>
      <c r="B58" s="20" t="s">
        <v>148</v>
      </c>
      <c r="C58" s="20">
        <v>38</v>
      </c>
      <c r="D58" s="20" t="s">
        <v>276</v>
      </c>
      <c r="E58" s="11" t="s">
        <v>277</v>
      </c>
      <c r="F58" s="11" t="s">
        <v>278</v>
      </c>
      <c r="G58" s="137">
        <v>1.5</v>
      </c>
      <c r="H58" s="135">
        <v>1.5</v>
      </c>
      <c r="I58" s="31">
        <f>PaterN!L12</f>
        <v>0.20454545454545456</v>
      </c>
      <c r="J58" s="138">
        <v>1.5</v>
      </c>
      <c r="K58" s="31">
        <v>1.5</v>
      </c>
      <c r="L58" s="80">
        <v>1.5</v>
      </c>
      <c r="M58" s="31">
        <v>1.5</v>
      </c>
      <c r="N58" s="83">
        <f>SUM(G58:M58)-G58-H58-J58</f>
        <v>4.704545454545455</v>
      </c>
      <c r="O58" s="21">
        <f t="shared" si="2"/>
        <v>-234.29545454545453</v>
      </c>
      <c r="P58" s="81"/>
      <c r="Q58" s="81">
        <v>4</v>
      </c>
      <c r="R58" s="81">
        <v>34</v>
      </c>
      <c r="S58" s="81"/>
      <c r="T58" s="81">
        <v>77</v>
      </c>
      <c r="U58" s="81">
        <v>124</v>
      </c>
      <c r="V58" s="82">
        <f t="shared" si="3"/>
        <v>239</v>
      </c>
    </row>
    <row r="59" spans="1:22" ht="16" thickBot="1" x14ac:dyDescent="0.25">
      <c r="A59" s="69">
        <v>55</v>
      </c>
      <c r="B59" s="20" t="s">
        <v>148</v>
      </c>
      <c r="C59" s="20">
        <v>13697</v>
      </c>
      <c r="D59" s="20" t="s">
        <v>345</v>
      </c>
      <c r="E59" s="20" t="s">
        <v>346</v>
      </c>
      <c r="F59" s="20" t="s">
        <v>347</v>
      </c>
      <c r="G59" s="135">
        <v>1.5</v>
      </c>
      <c r="H59" s="135">
        <v>1.5</v>
      </c>
      <c r="I59" s="136">
        <v>1.5</v>
      </c>
      <c r="J59" s="88">
        <v>1.5</v>
      </c>
      <c r="K59" s="31">
        <v>1.5</v>
      </c>
      <c r="L59" s="80">
        <f>TjörnR!M14</f>
        <v>0.21276595744680851</v>
      </c>
      <c r="M59" s="31">
        <v>1.5</v>
      </c>
      <c r="N59" s="83">
        <f>SUM(G59:M59)-G59-H59-I59</f>
        <v>4.712765957446809</v>
      </c>
      <c r="O59" s="21">
        <f t="shared" si="2"/>
        <v>-234.28723404255319</v>
      </c>
      <c r="P59" s="81"/>
      <c r="Q59" s="81">
        <v>4</v>
      </c>
      <c r="R59" s="81">
        <v>34</v>
      </c>
      <c r="S59" s="81"/>
      <c r="T59" s="81">
        <v>77</v>
      </c>
      <c r="U59" s="81">
        <v>124</v>
      </c>
      <c r="V59" s="82">
        <f t="shared" si="3"/>
        <v>239</v>
      </c>
    </row>
    <row r="60" spans="1:22" ht="16" thickBot="1" x14ac:dyDescent="0.25">
      <c r="A60" s="69">
        <v>56</v>
      </c>
      <c r="B60" s="29" t="s">
        <v>311</v>
      </c>
      <c r="C60" s="30" t="s">
        <v>323</v>
      </c>
      <c r="D60" s="29" t="s">
        <v>333</v>
      </c>
      <c r="E60" s="29" t="s">
        <v>325</v>
      </c>
      <c r="F60" s="29" t="s">
        <v>324</v>
      </c>
      <c r="G60" s="137">
        <v>1.5</v>
      </c>
      <c r="H60" s="135">
        <v>1.5</v>
      </c>
      <c r="I60" s="136">
        <v>1.5</v>
      </c>
      <c r="J60" s="88">
        <f>HermÖ!L11</f>
        <v>0.22500000000000001</v>
      </c>
      <c r="K60" s="31">
        <v>1.5</v>
      </c>
      <c r="L60" s="80">
        <v>1.5</v>
      </c>
      <c r="M60" s="31">
        <v>1.5</v>
      </c>
      <c r="N60" s="83">
        <f>SUM(G60:M60)-G60-H60-I60</f>
        <v>4.7249999999999996</v>
      </c>
      <c r="O60" s="21">
        <f t="shared" si="2"/>
        <v>-234.27500000000001</v>
      </c>
      <c r="P60" s="81"/>
      <c r="Q60" s="81">
        <v>4</v>
      </c>
      <c r="R60" s="81">
        <v>34</v>
      </c>
      <c r="S60" s="81"/>
      <c r="T60" s="81">
        <v>77</v>
      </c>
      <c r="U60" s="81">
        <v>124</v>
      </c>
      <c r="V60" s="82">
        <f t="shared" si="3"/>
        <v>239</v>
      </c>
    </row>
    <row r="61" spans="1:22" ht="16" thickBot="1" x14ac:dyDescent="0.25">
      <c r="A61" s="69">
        <v>57</v>
      </c>
      <c r="B61" s="38" t="s">
        <v>232</v>
      </c>
      <c r="C61" s="46">
        <v>4227</v>
      </c>
      <c r="D61" s="39" t="s">
        <v>82</v>
      </c>
      <c r="E61" s="40" t="s">
        <v>83</v>
      </c>
      <c r="F61" s="41"/>
      <c r="G61" s="135">
        <v>1.5</v>
      </c>
      <c r="H61" s="31">
        <f>MBBR!P20</f>
        <v>0.22857142857142856</v>
      </c>
      <c r="I61" s="135">
        <v>1.5</v>
      </c>
      <c r="J61" s="136">
        <v>1.5</v>
      </c>
      <c r="K61" s="31">
        <v>1.5</v>
      </c>
      <c r="L61" s="80">
        <v>1.5</v>
      </c>
      <c r="M61" s="31">
        <v>1.5</v>
      </c>
      <c r="N61" s="83">
        <f t="shared" ref="N61:N69" si="5">SUM(G61:M61)-G61-I61-J61</f>
        <v>4.7285714285714278</v>
      </c>
      <c r="O61" s="21">
        <f t="shared" si="2"/>
        <v>-234.27142857142857</v>
      </c>
      <c r="P61" s="81"/>
      <c r="Q61" s="81">
        <v>4</v>
      </c>
      <c r="R61" s="81">
        <v>34</v>
      </c>
      <c r="S61" s="81"/>
      <c r="T61" s="81">
        <v>77</v>
      </c>
      <c r="U61" s="81">
        <v>124</v>
      </c>
      <c r="V61" s="82">
        <f t="shared" si="3"/>
        <v>239</v>
      </c>
    </row>
    <row r="62" spans="1:22" ht="16" thickBot="1" x14ac:dyDescent="0.25">
      <c r="A62" s="69">
        <v>58</v>
      </c>
      <c r="B62" s="38" t="s">
        <v>195</v>
      </c>
      <c r="C62" s="46">
        <v>88</v>
      </c>
      <c r="D62" s="39" t="s">
        <v>196</v>
      </c>
      <c r="E62" s="40" t="s">
        <v>197</v>
      </c>
      <c r="F62" s="41"/>
      <c r="G62" s="135">
        <v>1.5</v>
      </c>
      <c r="H62" s="31">
        <f>MBBR!P21</f>
        <v>0.24285714285714285</v>
      </c>
      <c r="I62" s="135">
        <v>1.5</v>
      </c>
      <c r="J62" s="136">
        <v>1.5</v>
      </c>
      <c r="K62" s="31">
        <v>1.5</v>
      </c>
      <c r="L62" s="80">
        <v>1.5</v>
      </c>
      <c r="M62" s="31">
        <v>1.5</v>
      </c>
      <c r="N62" s="83">
        <f t="shared" si="5"/>
        <v>4.7428571428571438</v>
      </c>
      <c r="O62" s="21">
        <f t="shared" si="2"/>
        <v>-234.25714285714287</v>
      </c>
      <c r="P62" s="81"/>
      <c r="Q62" s="81">
        <v>4</v>
      </c>
      <c r="R62" s="81">
        <v>34</v>
      </c>
      <c r="S62" s="81"/>
      <c r="T62" s="81">
        <v>77</v>
      </c>
      <c r="U62" s="81">
        <v>124</v>
      </c>
      <c r="V62" s="82">
        <f t="shared" si="3"/>
        <v>239</v>
      </c>
    </row>
    <row r="63" spans="1:22" ht="16" thickBot="1" x14ac:dyDescent="0.25">
      <c r="A63" s="69">
        <v>59</v>
      </c>
      <c r="B63" s="20" t="s">
        <v>92</v>
      </c>
      <c r="C63" s="33">
        <v>88</v>
      </c>
      <c r="D63" s="20" t="s">
        <v>166</v>
      </c>
      <c r="E63" s="20" t="s">
        <v>167</v>
      </c>
      <c r="F63" s="20"/>
      <c r="G63" s="135">
        <v>1.5</v>
      </c>
      <c r="H63" s="31">
        <f>MBBR!P23</f>
        <v>0.27142857142857141</v>
      </c>
      <c r="I63" s="135">
        <v>1.5</v>
      </c>
      <c r="J63" s="136">
        <v>1.5</v>
      </c>
      <c r="K63" s="31">
        <v>1.5</v>
      </c>
      <c r="L63" s="80">
        <v>1.5</v>
      </c>
      <c r="M63" s="31">
        <v>1.5</v>
      </c>
      <c r="N63" s="83">
        <f t="shared" si="5"/>
        <v>4.7714285714285722</v>
      </c>
      <c r="O63" s="21">
        <f t="shared" si="2"/>
        <v>-234.22857142857143</v>
      </c>
      <c r="P63" s="81"/>
      <c r="Q63" s="81">
        <v>4</v>
      </c>
      <c r="R63" s="81">
        <v>34</v>
      </c>
      <c r="S63" s="81"/>
      <c r="T63" s="81">
        <v>77</v>
      </c>
      <c r="U63" s="81">
        <v>124</v>
      </c>
      <c r="V63" s="82">
        <f t="shared" si="3"/>
        <v>239</v>
      </c>
    </row>
    <row r="64" spans="1:22" ht="16" thickBot="1" x14ac:dyDescent="0.25">
      <c r="A64" s="69">
        <v>60</v>
      </c>
      <c r="B64" s="20" t="s">
        <v>233</v>
      </c>
      <c r="C64" s="75">
        <v>9</v>
      </c>
      <c r="D64" s="20" t="s">
        <v>234</v>
      </c>
      <c r="E64" s="20" t="s">
        <v>235</v>
      </c>
      <c r="F64" s="20"/>
      <c r="G64" s="137">
        <v>1.5</v>
      </c>
      <c r="H64" s="31">
        <f>MBBR!P24</f>
        <v>0.2857142857142857</v>
      </c>
      <c r="I64" s="135">
        <v>1.5</v>
      </c>
      <c r="J64" s="136">
        <v>1.5</v>
      </c>
      <c r="K64" s="31">
        <v>1.5</v>
      </c>
      <c r="L64" s="80">
        <v>1.5</v>
      </c>
      <c r="M64" s="31">
        <v>1.5</v>
      </c>
      <c r="N64" s="83">
        <f t="shared" si="5"/>
        <v>4.7857142857142847</v>
      </c>
      <c r="O64" s="21">
        <f t="shared" si="2"/>
        <v>-234.21428571428572</v>
      </c>
      <c r="P64" s="81"/>
      <c r="Q64" s="81">
        <v>4</v>
      </c>
      <c r="R64" s="81">
        <v>34</v>
      </c>
      <c r="S64" s="81"/>
      <c r="T64" s="81">
        <v>77</v>
      </c>
      <c r="U64" s="81">
        <v>124</v>
      </c>
      <c r="V64" s="82">
        <f t="shared" si="3"/>
        <v>239</v>
      </c>
    </row>
    <row r="65" spans="1:22" ht="16" thickBot="1" x14ac:dyDescent="0.25">
      <c r="A65" s="69">
        <v>61</v>
      </c>
      <c r="B65" s="71" t="s">
        <v>140</v>
      </c>
      <c r="C65" s="89">
        <v>5</v>
      </c>
      <c r="D65" s="71" t="s">
        <v>141</v>
      </c>
      <c r="E65" s="71" t="s">
        <v>236</v>
      </c>
      <c r="F65" s="71"/>
      <c r="G65" s="135">
        <v>1.5</v>
      </c>
      <c r="H65" s="31">
        <f>MBBR!P27</f>
        <v>0.32857142857142857</v>
      </c>
      <c r="I65" s="135">
        <v>1.5</v>
      </c>
      <c r="J65" s="136">
        <v>1.5</v>
      </c>
      <c r="K65" s="31">
        <v>1.5</v>
      </c>
      <c r="L65" s="80">
        <v>1.5</v>
      </c>
      <c r="M65" s="31">
        <v>1.5</v>
      </c>
      <c r="N65" s="83">
        <f t="shared" si="5"/>
        <v>4.8285714285714292</v>
      </c>
      <c r="O65" s="21">
        <f t="shared" si="2"/>
        <v>-234.17142857142858</v>
      </c>
      <c r="P65" s="81"/>
      <c r="Q65" s="81">
        <v>4</v>
      </c>
      <c r="R65" s="81">
        <v>34</v>
      </c>
      <c r="S65" s="81"/>
      <c r="T65" s="81">
        <v>77</v>
      </c>
      <c r="U65" s="81">
        <v>124</v>
      </c>
      <c r="V65" s="82">
        <f t="shared" si="3"/>
        <v>239</v>
      </c>
    </row>
    <row r="66" spans="1:22" ht="16" thickBot="1" x14ac:dyDescent="0.25">
      <c r="A66" s="69">
        <v>62</v>
      </c>
      <c r="B66" s="42" t="s">
        <v>75</v>
      </c>
      <c r="C66" s="43">
        <v>11</v>
      </c>
      <c r="D66" s="44" t="s">
        <v>138</v>
      </c>
      <c r="E66" s="37" t="s">
        <v>139</v>
      </c>
      <c r="F66" s="45"/>
      <c r="G66" s="137">
        <v>1.5</v>
      </c>
      <c r="H66" s="31">
        <f>MBBR!P30</f>
        <v>0.37142857142857144</v>
      </c>
      <c r="I66" s="135">
        <v>1.5</v>
      </c>
      <c r="J66" s="136">
        <v>1.5</v>
      </c>
      <c r="K66" s="31">
        <v>1.5</v>
      </c>
      <c r="L66" s="80">
        <v>1.5</v>
      </c>
      <c r="M66" s="31">
        <v>1.5</v>
      </c>
      <c r="N66" s="83">
        <f t="shared" si="5"/>
        <v>4.8714285714285719</v>
      </c>
      <c r="O66" s="21">
        <f t="shared" si="2"/>
        <v>-234.12857142857143</v>
      </c>
      <c r="P66" s="81"/>
      <c r="Q66" s="81">
        <v>4</v>
      </c>
      <c r="R66" s="81">
        <v>34</v>
      </c>
      <c r="S66" s="81"/>
      <c r="T66" s="81">
        <v>77</v>
      </c>
      <c r="U66" s="81">
        <v>124</v>
      </c>
      <c r="V66" s="82">
        <f t="shared" si="3"/>
        <v>239</v>
      </c>
    </row>
    <row r="67" spans="1:22" ht="16" thickBot="1" x14ac:dyDescent="0.25">
      <c r="A67" s="71">
        <v>63</v>
      </c>
      <c r="B67" s="139" t="s">
        <v>75</v>
      </c>
      <c r="C67" s="140">
        <v>26</v>
      </c>
      <c r="D67" s="139" t="s">
        <v>214</v>
      </c>
      <c r="E67" s="139" t="s">
        <v>215</v>
      </c>
      <c r="F67" s="139"/>
      <c r="G67" s="137">
        <v>1.5</v>
      </c>
      <c r="H67" s="31">
        <f>MBBR!P64</f>
        <v>0.8571428571428571</v>
      </c>
      <c r="I67" s="135">
        <v>1.5</v>
      </c>
      <c r="J67" s="136">
        <v>1.5</v>
      </c>
      <c r="K67" s="31">
        <v>1.5</v>
      </c>
      <c r="L67" s="80">
        <f>TjörnR!M50</f>
        <v>1.0212765957446808</v>
      </c>
      <c r="M67" s="31">
        <v>1.5</v>
      </c>
      <c r="N67" s="83">
        <f t="shared" si="5"/>
        <v>4.8784194528875382</v>
      </c>
      <c r="O67" s="21">
        <f t="shared" si="2"/>
        <v>-234.12158054711247</v>
      </c>
      <c r="P67" s="81"/>
      <c r="Q67" s="81">
        <v>4</v>
      </c>
      <c r="R67" s="81">
        <v>34</v>
      </c>
      <c r="S67" s="81"/>
      <c r="T67" s="81">
        <v>77</v>
      </c>
      <c r="U67" s="81">
        <v>124</v>
      </c>
      <c r="V67" s="82">
        <f t="shared" si="3"/>
        <v>239</v>
      </c>
    </row>
    <row r="68" spans="1:22" ht="16" thickBot="1" x14ac:dyDescent="0.25">
      <c r="A68" s="71">
        <v>64</v>
      </c>
      <c r="B68" s="42" t="s">
        <v>102</v>
      </c>
      <c r="C68" s="43">
        <v>106</v>
      </c>
      <c r="D68" s="44" t="s">
        <v>103</v>
      </c>
      <c r="E68" s="37" t="s">
        <v>104</v>
      </c>
      <c r="F68" s="45"/>
      <c r="G68" s="135">
        <v>1.5</v>
      </c>
      <c r="H68" s="31">
        <f>MBBR!P32</f>
        <v>0.4</v>
      </c>
      <c r="I68" s="135">
        <v>1.5</v>
      </c>
      <c r="J68" s="136">
        <v>1.5</v>
      </c>
      <c r="K68" s="31">
        <v>1.5</v>
      </c>
      <c r="L68" s="80">
        <v>1.5</v>
      </c>
      <c r="M68" s="31">
        <v>1.5</v>
      </c>
      <c r="N68" s="83">
        <f t="shared" si="5"/>
        <v>4.9000000000000004</v>
      </c>
      <c r="O68" s="21">
        <f t="shared" si="2"/>
        <v>-234.1</v>
      </c>
      <c r="P68" s="81"/>
      <c r="Q68" s="81">
        <v>4</v>
      </c>
      <c r="R68" s="81">
        <v>34</v>
      </c>
      <c r="S68" s="81"/>
      <c r="T68" s="81">
        <v>77</v>
      </c>
      <c r="U68" s="81">
        <v>124</v>
      </c>
      <c r="V68" s="82">
        <f t="shared" si="3"/>
        <v>239</v>
      </c>
    </row>
    <row r="69" spans="1:22" ht="16" thickBot="1" x14ac:dyDescent="0.25">
      <c r="A69" s="71">
        <v>65</v>
      </c>
      <c r="B69" s="29" t="s">
        <v>181</v>
      </c>
      <c r="C69" s="30" t="s">
        <v>182</v>
      </c>
      <c r="D69" s="29" t="s">
        <v>183</v>
      </c>
      <c r="E69" s="29" t="s">
        <v>184</v>
      </c>
      <c r="F69" s="29"/>
      <c r="G69" s="135">
        <v>1.5</v>
      </c>
      <c r="H69" s="31">
        <f>MBBR!P33</f>
        <v>0.41428571428571431</v>
      </c>
      <c r="I69" s="135">
        <v>1.5</v>
      </c>
      <c r="J69" s="138">
        <v>1.5</v>
      </c>
      <c r="K69" s="31">
        <v>1.5</v>
      </c>
      <c r="L69" s="80">
        <v>1.5</v>
      </c>
      <c r="M69" s="31">
        <v>1.5</v>
      </c>
      <c r="N69" s="83">
        <f t="shared" si="5"/>
        <v>4.9142857142857146</v>
      </c>
      <c r="O69" s="21">
        <f t="shared" ref="O69:O81" si="6">N69-V69</f>
        <v>-234.08571428571429</v>
      </c>
      <c r="P69" s="81"/>
      <c r="Q69" s="81">
        <v>4</v>
      </c>
      <c r="R69" s="81">
        <v>34</v>
      </c>
      <c r="S69" s="81"/>
      <c r="T69" s="81">
        <v>77</v>
      </c>
      <c r="U69" s="81">
        <v>124</v>
      </c>
      <c r="V69" s="82">
        <f t="shared" ref="V69:V81" si="7">SUM(P69:U69)</f>
        <v>239</v>
      </c>
    </row>
    <row r="70" spans="1:22" ht="16" thickBot="1" x14ac:dyDescent="0.25">
      <c r="A70" s="71">
        <v>66</v>
      </c>
      <c r="B70" s="20" t="s">
        <v>311</v>
      </c>
      <c r="C70" s="20">
        <v>703</v>
      </c>
      <c r="D70" s="20" t="s">
        <v>356</v>
      </c>
      <c r="E70" s="20" t="s">
        <v>289</v>
      </c>
      <c r="F70" s="20" t="s">
        <v>176</v>
      </c>
      <c r="G70" s="137">
        <v>1.5</v>
      </c>
      <c r="H70" s="135">
        <v>1.5</v>
      </c>
      <c r="I70" s="135">
        <v>1.5</v>
      </c>
      <c r="J70" s="88">
        <v>1.5</v>
      </c>
      <c r="K70" s="31">
        <v>1.5</v>
      </c>
      <c r="L70" s="80">
        <f>TjörnR!M24</f>
        <v>0.42553191489361702</v>
      </c>
      <c r="M70" s="31">
        <v>1.5</v>
      </c>
      <c r="N70" s="83">
        <f>SUM(G70:M70)-G70-H70-I70</f>
        <v>4.9255319148936181</v>
      </c>
      <c r="O70" s="21">
        <f t="shared" si="6"/>
        <v>-234.07446808510639</v>
      </c>
      <c r="P70" s="81"/>
      <c r="Q70" s="81">
        <v>4</v>
      </c>
      <c r="R70" s="81">
        <v>34</v>
      </c>
      <c r="S70" s="81"/>
      <c r="T70" s="81">
        <v>77</v>
      </c>
      <c r="U70" s="81">
        <v>124</v>
      </c>
      <c r="V70" s="82">
        <f t="shared" si="7"/>
        <v>239</v>
      </c>
    </row>
    <row r="71" spans="1:22" ht="16" thickBot="1" x14ac:dyDescent="0.25">
      <c r="A71" s="71">
        <v>67</v>
      </c>
      <c r="B71" s="20" t="s">
        <v>59</v>
      </c>
      <c r="C71" s="20">
        <v>6830</v>
      </c>
      <c r="D71" s="20" t="s">
        <v>60</v>
      </c>
      <c r="E71" s="20" t="s">
        <v>61</v>
      </c>
      <c r="F71" s="20" t="s">
        <v>62</v>
      </c>
      <c r="G71" s="31">
        <f>StoraO!J7</f>
        <v>0.42857142857142855</v>
      </c>
      <c r="H71" s="135">
        <v>1.5</v>
      </c>
      <c r="I71" s="135">
        <v>1.5</v>
      </c>
      <c r="J71" s="136">
        <v>1.5</v>
      </c>
      <c r="K71" s="31">
        <v>1.5</v>
      </c>
      <c r="L71" s="80">
        <v>1.5</v>
      </c>
      <c r="M71" s="31">
        <v>1.5</v>
      </c>
      <c r="N71" s="83">
        <f>SUM(G71:M71)-H71-I71-J71</f>
        <v>4.9285714285714288</v>
      </c>
      <c r="O71" s="21">
        <f t="shared" si="6"/>
        <v>-234.07142857142858</v>
      </c>
      <c r="P71" s="81"/>
      <c r="Q71" s="81">
        <v>4</v>
      </c>
      <c r="R71" s="81">
        <v>34</v>
      </c>
      <c r="S71" s="81"/>
      <c r="T71" s="81">
        <v>77</v>
      </c>
      <c r="U71" s="81">
        <v>124</v>
      </c>
      <c r="V71" s="82">
        <f t="shared" si="7"/>
        <v>239</v>
      </c>
    </row>
    <row r="72" spans="1:22" ht="16" thickBot="1" x14ac:dyDescent="0.25">
      <c r="A72" s="71">
        <v>68</v>
      </c>
      <c r="B72" s="20" t="s">
        <v>237</v>
      </c>
      <c r="C72" s="33">
        <v>550</v>
      </c>
      <c r="D72" s="20" t="s">
        <v>238</v>
      </c>
      <c r="E72" s="20" t="s">
        <v>239</v>
      </c>
      <c r="F72" s="20"/>
      <c r="G72" s="135">
        <v>1.5</v>
      </c>
      <c r="H72" s="31">
        <f>MBBR!P34</f>
        <v>0.42857142857142855</v>
      </c>
      <c r="I72" s="135">
        <v>1.5</v>
      </c>
      <c r="J72" s="136">
        <v>1.5</v>
      </c>
      <c r="K72" s="31">
        <v>1.5</v>
      </c>
      <c r="L72" s="80">
        <v>1.5</v>
      </c>
      <c r="M72" s="31">
        <v>1.5</v>
      </c>
      <c r="N72" s="83">
        <f>SUM(G72:M72)-G72-I72-J72</f>
        <v>4.9285714285714288</v>
      </c>
      <c r="O72" s="21">
        <f t="shared" si="6"/>
        <v>-234.07142857142858</v>
      </c>
      <c r="P72" s="81"/>
      <c r="Q72" s="81">
        <v>4</v>
      </c>
      <c r="R72" s="81">
        <v>34</v>
      </c>
      <c r="S72" s="81"/>
      <c r="T72" s="81">
        <v>77</v>
      </c>
      <c r="U72" s="81">
        <v>124</v>
      </c>
      <c r="V72" s="82">
        <f t="shared" si="7"/>
        <v>239</v>
      </c>
    </row>
    <row r="73" spans="1:22" ht="16" thickBot="1" x14ac:dyDescent="0.25">
      <c r="A73" s="71">
        <v>69</v>
      </c>
      <c r="B73" s="38" t="s">
        <v>112</v>
      </c>
      <c r="C73" s="46">
        <v>10035</v>
      </c>
      <c r="D73" s="39" t="s">
        <v>113</v>
      </c>
      <c r="E73" s="40" t="s">
        <v>114</v>
      </c>
      <c r="F73" s="41" t="s">
        <v>58</v>
      </c>
      <c r="G73" s="135">
        <v>1.5</v>
      </c>
      <c r="H73" s="31">
        <f>MBBR!P35</f>
        <v>0.44285714285714284</v>
      </c>
      <c r="I73" s="135">
        <v>1.5</v>
      </c>
      <c r="J73" s="136">
        <v>1.5</v>
      </c>
      <c r="K73" s="31">
        <v>1.5</v>
      </c>
      <c r="L73" s="80">
        <v>1.5</v>
      </c>
      <c r="M73" s="31">
        <v>1.5</v>
      </c>
      <c r="N73" s="83">
        <f>SUM(G73:M73)-G73-I73-J73</f>
        <v>4.9428571428571431</v>
      </c>
      <c r="O73" s="21">
        <f t="shared" si="6"/>
        <v>-234.05714285714285</v>
      </c>
      <c r="P73" s="81"/>
      <c r="Q73" s="81">
        <v>4</v>
      </c>
      <c r="R73" s="81">
        <v>34</v>
      </c>
      <c r="S73" s="81"/>
      <c r="T73" s="81">
        <v>77</v>
      </c>
      <c r="U73" s="81">
        <v>124</v>
      </c>
      <c r="V73" s="82">
        <f t="shared" si="7"/>
        <v>239</v>
      </c>
    </row>
    <row r="74" spans="1:22" ht="16" thickBot="1" x14ac:dyDescent="0.25">
      <c r="A74" s="71">
        <v>70</v>
      </c>
      <c r="B74" s="20" t="s">
        <v>360</v>
      </c>
      <c r="C74" s="20">
        <v>15340</v>
      </c>
      <c r="D74" s="20" t="s">
        <v>361</v>
      </c>
      <c r="E74" s="20" t="s">
        <v>362</v>
      </c>
      <c r="F74" s="20" t="s">
        <v>155</v>
      </c>
      <c r="G74" s="135">
        <v>1.5</v>
      </c>
      <c r="H74" s="135">
        <v>1.5</v>
      </c>
      <c r="I74" s="135">
        <v>1.5</v>
      </c>
      <c r="J74" s="88">
        <v>1.5</v>
      </c>
      <c r="K74" s="31">
        <v>1.5</v>
      </c>
      <c r="L74" s="80">
        <f>TjörnR!M25</f>
        <v>0.44680851063829785</v>
      </c>
      <c r="M74" s="31">
        <v>1.5</v>
      </c>
      <c r="N74" s="83">
        <f>SUM(G74:M74)-G74-H74-I74</f>
        <v>4.9468085106382986</v>
      </c>
      <c r="O74" s="21">
        <f t="shared" si="6"/>
        <v>-234.05319148936169</v>
      </c>
      <c r="P74" s="81"/>
      <c r="Q74" s="81">
        <v>4</v>
      </c>
      <c r="R74" s="81">
        <v>34</v>
      </c>
      <c r="S74" s="81"/>
      <c r="T74" s="81">
        <v>77</v>
      </c>
      <c r="U74" s="81">
        <v>124</v>
      </c>
      <c r="V74" s="82">
        <f t="shared" si="7"/>
        <v>239</v>
      </c>
    </row>
    <row r="75" spans="1:22" ht="16" thickBot="1" x14ac:dyDescent="0.25">
      <c r="A75" s="71">
        <v>71</v>
      </c>
      <c r="B75" s="29" t="s">
        <v>118</v>
      </c>
      <c r="C75" s="30" t="s">
        <v>240</v>
      </c>
      <c r="D75" s="29" t="s">
        <v>241</v>
      </c>
      <c r="E75" s="29" t="s">
        <v>242</v>
      </c>
      <c r="F75" s="29"/>
      <c r="G75" s="135">
        <v>1.5</v>
      </c>
      <c r="H75" s="31">
        <f>MBBR!P36</f>
        <v>0.45714285714285713</v>
      </c>
      <c r="I75" s="135">
        <v>1.5</v>
      </c>
      <c r="J75" s="136">
        <v>1.5</v>
      </c>
      <c r="K75" s="31">
        <v>1.5</v>
      </c>
      <c r="L75" s="80">
        <v>1.5</v>
      </c>
      <c r="M75" s="31">
        <v>1.5</v>
      </c>
      <c r="N75" s="83">
        <f>SUM(G75:M75)-G75-I75-J75</f>
        <v>4.9571428571428573</v>
      </c>
      <c r="O75" s="21">
        <f t="shared" si="6"/>
        <v>-234.04285714285714</v>
      </c>
      <c r="P75" s="81"/>
      <c r="Q75" s="81">
        <v>4</v>
      </c>
      <c r="R75" s="81">
        <v>34</v>
      </c>
      <c r="S75" s="81"/>
      <c r="T75" s="81">
        <v>77</v>
      </c>
      <c r="U75" s="81">
        <v>124</v>
      </c>
      <c r="V75" s="82">
        <f t="shared" si="7"/>
        <v>239</v>
      </c>
    </row>
    <row r="76" spans="1:22" ht="16" thickBot="1" x14ac:dyDescent="0.25">
      <c r="A76" s="71">
        <v>72</v>
      </c>
      <c r="B76" s="20" t="s">
        <v>71</v>
      </c>
      <c r="C76" s="20">
        <v>42</v>
      </c>
      <c r="D76" s="20"/>
      <c r="E76" s="20" t="s">
        <v>302</v>
      </c>
      <c r="F76" s="20" t="s">
        <v>303</v>
      </c>
      <c r="G76" s="137">
        <v>1.5</v>
      </c>
      <c r="H76" s="135">
        <v>1.5</v>
      </c>
      <c r="I76" s="136">
        <v>1.5</v>
      </c>
      <c r="J76" s="88">
        <f>HermÖ!L17</f>
        <v>0.47499999999999998</v>
      </c>
      <c r="K76" s="31">
        <v>1.5</v>
      </c>
      <c r="L76" s="80">
        <v>1.5</v>
      </c>
      <c r="M76" s="31">
        <v>1.5</v>
      </c>
      <c r="N76" s="83">
        <f>SUM(G76:M76)-G76-I76-H76</f>
        <v>4.9749999999999996</v>
      </c>
      <c r="O76" s="21">
        <f t="shared" si="6"/>
        <v>-234.02500000000001</v>
      </c>
      <c r="P76" s="81"/>
      <c r="Q76" s="81">
        <v>4</v>
      </c>
      <c r="R76" s="81">
        <v>34</v>
      </c>
      <c r="S76" s="81"/>
      <c r="T76" s="81">
        <v>77</v>
      </c>
      <c r="U76" s="81">
        <v>124</v>
      </c>
      <c r="V76" s="82">
        <f t="shared" si="7"/>
        <v>239</v>
      </c>
    </row>
    <row r="77" spans="1:22" ht="16" thickBot="1" x14ac:dyDescent="0.25">
      <c r="A77" s="71">
        <v>73</v>
      </c>
      <c r="B77" s="20" t="s">
        <v>74</v>
      </c>
      <c r="C77" s="33">
        <v>6484</v>
      </c>
      <c r="D77" s="20" t="s">
        <v>243</v>
      </c>
      <c r="E77" s="20" t="s">
        <v>244</v>
      </c>
      <c r="F77" s="20"/>
      <c r="G77" s="135">
        <v>1.5</v>
      </c>
      <c r="H77" s="31">
        <f>MBBR!P38</f>
        <v>0.48571428571428571</v>
      </c>
      <c r="I77" s="135">
        <v>1.5</v>
      </c>
      <c r="J77" s="136">
        <v>1.5</v>
      </c>
      <c r="K77" s="31">
        <v>1.5</v>
      </c>
      <c r="L77" s="80">
        <v>1.5</v>
      </c>
      <c r="M77" s="31">
        <v>1.5</v>
      </c>
      <c r="N77" s="83">
        <f>SUM(G77:M77)-G77-I77-J77</f>
        <v>4.9857142857142858</v>
      </c>
      <c r="O77" s="21">
        <f t="shared" si="6"/>
        <v>-234.01428571428571</v>
      </c>
      <c r="P77" s="81"/>
      <c r="Q77" s="81">
        <v>4</v>
      </c>
      <c r="R77" s="81">
        <v>34</v>
      </c>
      <c r="S77" s="81"/>
      <c r="T77" s="81">
        <v>77</v>
      </c>
      <c r="U77" s="81">
        <v>124</v>
      </c>
      <c r="V77" s="82">
        <f t="shared" si="7"/>
        <v>239</v>
      </c>
    </row>
    <row r="78" spans="1:22" ht="16" thickBot="1" x14ac:dyDescent="0.25">
      <c r="A78" s="71">
        <v>74</v>
      </c>
      <c r="B78" s="20" t="s">
        <v>381</v>
      </c>
      <c r="C78" s="73">
        <v>7407</v>
      </c>
      <c r="D78" s="20" t="s">
        <v>400</v>
      </c>
      <c r="E78" s="20" t="s">
        <v>382</v>
      </c>
      <c r="F78" s="20" t="s">
        <v>66</v>
      </c>
      <c r="G78" s="135">
        <v>1.5</v>
      </c>
      <c r="H78" s="135">
        <v>1.5</v>
      </c>
      <c r="I78" s="136">
        <v>1.5</v>
      </c>
      <c r="J78" s="97">
        <v>1.5</v>
      </c>
      <c r="K78" s="31">
        <v>1.5</v>
      </c>
      <c r="L78" s="80">
        <f>TjörnR!M28</f>
        <v>0.51063829787234039</v>
      </c>
      <c r="M78" s="31">
        <v>1.5</v>
      </c>
      <c r="N78" s="83">
        <f>SUM(G78:M78)-G78-H78-I78</f>
        <v>5.0106382978723403</v>
      </c>
      <c r="O78" s="21">
        <f t="shared" si="6"/>
        <v>-233.98936170212767</v>
      </c>
      <c r="P78" s="81"/>
      <c r="Q78" s="81">
        <v>4</v>
      </c>
      <c r="R78" s="81">
        <v>34</v>
      </c>
      <c r="S78" s="81"/>
      <c r="T78" s="81">
        <v>77</v>
      </c>
      <c r="U78" s="81">
        <v>124</v>
      </c>
      <c r="V78" s="82">
        <f t="shared" si="7"/>
        <v>239</v>
      </c>
    </row>
    <row r="79" spans="1:22" ht="16" thickBot="1" x14ac:dyDescent="0.25">
      <c r="A79" s="71">
        <v>75</v>
      </c>
      <c r="B79" s="20" t="s">
        <v>75</v>
      </c>
      <c r="C79" s="75">
        <v>381</v>
      </c>
      <c r="D79" s="20" t="s">
        <v>198</v>
      </c>
      <c r="E79" s="20" t="s">
        <v>199</v>
      </c>
      <c r="F79" s="20"/>
      <c r="G79" s="135">
        <v>1.5</v>
      </c>
      <c r="H79" s="31">
        <f>MBBR!P42</f>
        <v>0.54285714285714282</v>
      </c>
      <c r="I79" s="135">
        <v>1.5</v>
      </c>
      <c r="J79" s="136">
        <v>1.5</v>
      </c>
      <c r="K79" s="31">
        <v>1.5</v>
      </c>
      <c r="L79" s="80">
        <v>1.5</v>
      </c>
      <c r="M79" s="31">
        <v>1.5</v>
      </c>
      <c r="N79" s="83">
        <f>SUM(G79:M79)-G79-I79-J79</f>
        <v>5.0428571428571427</v>
      </c>
      <c r="O79" s="21">
        <f t="shared" si="6"/>
        <v>-233.95714285714286</v>
      </c>
      <c r="P79" s="81"/>
      <c r="Q79" s="81">
        <v>4</v>
      </c>
      <c r="R79" s="81">
        <v>34</v>
      </c>
      <c r="S79" s="81"/>
      <c r="T79" s="81">
        <v>77</v>
      </c>
      <c r="U79" s="81">
        <v>124</v>
      </c>
      <c r="V79" s="82">
        <f t="shared" si="7"/>
        <v>239</v>
      </c>
    </row>
    <row r="80" spans="1:22" ht="16" thickBot="1" x14ac:dyDescent="0.25">
      <c r="A80" s="71">
        <v>76</v>
      </c>
      <c r="B80" s="29" t="s">
        <v>51</v>
      </c>
      <c r="C80" s="100" t="s">
        <v>287</v>
      </c>
      <c r="D80" s="29" t="s">
        <v>288</v>
      </c>
      <c r="E80" s="29" t="s">
        <v>289</v>
      </c>
      <c r="F80" s="29" t="s">
        <v>133</v>
      </c>
      <c r="G80" s="137">
        <v>1.5</v>
      </c>
      <c r="H80" s="135">
        <v>1.5</v>
      </c>
      <c r="I80" s="31">
        <f>PaterN!L23</f>
        <v>0.54545454545454541</v>
      </c>
      <c r="J80" s="136">
        <v>1.5</v>
      </c>
      <c r="K80" s="31">
        <v>1.5</v>
      </c>
      <c r="L80" s="80">
        <v>1.5</v>
      </c>
      <c r="M80" s="31">
        <v>1.5</v>
      </c>
      <c r="N80" s="83">
        <f>SUM(G80:M80)-G80-H80-J80</f>
        <v>5.045454545454545</v>
      </c>
      <c r="O80" s="21">
        <f t="shared" si="6"/>
        <v>-233.95454545454547</v>
      </c>
      <c r="P80" s="81"/>
      <c r="Q80" s="81">
        <v>4</v>
      </c>
      <c r="R80" s="81">
        <v>34</v>
      </c>
      <c r="S80" s="81"/>
      <c r="T80" s="81">
        <v>77</v>
      </c>
      <c r="U80" s="81">
        <v>124</v>
      </c>
      <c r="V80" s="82">
        <f t="shared" si="7"/>
        <v>239</v>
      </c>
    </row>
    <row r="81" spans="1:22" ht="16" thickBot="1" x14ac:dyDescent="0.25">
      <c r="A81" s="71">
        <v>77</v>
      </c>
      <c r="B81" s="20" t="s">
        <v>76</v>
      </c>
      <c r="C81" s="75">
        <v>12343</v>
      </c>
      <c r="D81" s="20" t="s">
        <v>129</v>
      </c>
      <c r="E81" s="20" t="s">
        <v>130</v>
      </c>
      <c r="F81" s="20" t="s">
        <v>131</v>
      </c>
      <c r="G81" s="137">
        <v>1.5</v>
      </c>
      <c r="H81" s="31">
        <f>MBBR!P43</f>
        <v>0.55714285714285716</v>
      </c>
      <c r="I81" s="135">
        <v>1.5</v>
      </c>
      <c r="J81" s="136">
        <v>1.5</v>
      </c>
      <c r="K81" s="31">
        <v>1.5</v>
      </c>
      <c r="L81" s="80">
        <v>1.5</v>
      </c>
      <c r="M81" s="31">
        <v>1.5</v>
      </c>
      <c r="N81" s="83">
        <f>SUM(G81:M81)-G81-I81-J81</f>
        <v>5.0571428571428569</v>
      </c>
      <c r="O81" s="21">
        <f t="shared" si="6"/>
        <v>-233.94285714285715</v>
      </c>
      <c r="P81" s="81"/>
      <c r="Q81" s="81">
        <v>4</v>
      </c>
      <c r="R81" s="81">
        <v>34</v>
      </c>
      <c r="S81" s="81"/>
      <c r="T81" s="81">
        <v>77</v>
      </c>
      <c r="U81" s="81">
        <v>124</v>
      </c>
      <c r="V81" s="82">
        <f t="shared" si="7"/>
        <v>239</v>
      </c>
    </row>
    <row r="82" spans="1:22" ht="16" thickBot="1" x14ac:dyDescent="0.25">
      <c r="A82" s="71">
        <v>78</v>
      </c>
      <c r="B82" s="20" t="s">
        <v>75</v>
      </c>
      <c r="C82" s="75">
        <v>34</v>
      </c>
      <c r="D82" s="20" t="s">
        <v>200</v>
      </c>
      <c r="E82" s="20" t="s">
        <v>201</v>
      </c>
      <c r="F82" s="20"/>
      <c r="G82" s="137">
        <v>1.5</v>
      </c>
      <c r="H82" s="31">
        <f>MBBR!P45</f>
        <v>0.58571428571428574</v>
      </c>
      <c r="I82" s="136">
        <v>1.5</v>
      </c>
      <c r="J82" s="138">
        <v>1.5</v>
      </c>
      <c r="K82" s="31">
        <v>1.5</v>
      </c>
      <c r="L82" s="80">
        <v>1.5</v>
      </c>
      <c r="M82" s="31">
        <v>1.5</v>
      </c>
      <c r="N82" s="83">
        <f>SUM(G82:M82)-G82-I82-J82</f>
        <v>5.0857142857142854</v>
      </c>
      <c r="P82" s="81"/>
      <c r="Q82" s="81"/>
      <c r="R82" s="81"/>
      <c r="S82" s="81"/>
      <c r="T82" s="81"/>
      <c r="U82" s="81"/>
      <c r="V82" s="82"/>
    </row>
    <row r="83" spans="1:22" x14ac:dyDescent="0.2">
      <c r="A83" s="20">
        <v>79</v>
      </c>
      <c r="B83" s="20" t="s">
        <v>357</v>
      </c>
      <c r="C83" s="20">
        <v>131</v>
      </c>
      <c r="D83" s="20" t="s">
        <v>358</v>
      </c>
      <c r="E83" s="20" t="s">
        <v>359</v>
      </c>
      <c r="F83" s="28" t="s">
        <v>173</v>
      </c>
      <c r="G83" s="135">
        <v>1.5</v>
      </c>
      <c r="H83" s="135">
        <v>1.5</v>
      </c>
      <c r="I83" s="136">
        <v>1.5</v>
      </c>
      <c r="J83" s="88">
        <v>1.5</v>
      </c>
      <c r="K83" s="31">
        <v>1.5</v>
      </c>
      <c r="L83" s="80">
        <f>TjörnR!M31</f>
        <v>0.5957446808510638</v>
      </c>
      <c r="M83" s="31">
        <v>1.5</v>
      </c>
      <c r="N83" s="83">
        <f>SUM(G83:M83)-G83-H83-I83</f>
        <v>5.0957446808510642</v>
      </c>
      <c r="O83" s="21">
        <f>N83-V83</f>
        <v>-233.90425531914894</v>
      </c>
      <c r="P83" s="81"/>
      <c r="Q83" s="81">
        <v>4</v>
      </c>
      <c r="R83" s="81">
        <v>34</v>
      </c>
      <c r="S83" s="81"/>
      <c r="T83" s="81">
        <v>77</v>
      </c>
      <c r="U83" s="81">
        <v>124</v>
      </c>
      <c r="V83" s="82">
        <f>SUM(P83:U83)</f>
        <v>239</v>
      </c>
    </row>
    <row r="84" spans="1:22" x14ac:dyDescent="0.2">
      <c r="A84" s="71">
        <v>80</v>
      </c>
      <c r="B84" s="20" t="s">
        <v>317</v>
      </c>
      <c r="C84" s="33">
        <v>3</v>
      </c>
      <c r="D84" s="20"/>
      <c r="E84" s="20" t="s">
        <v>326</v>
      </c>
      <c r="F84" s="20" t="s">
        <v>318</v>
      </c>
      <c r="G84" s="137">
        <v>1.5</v>
      </c>
      <c r="H84" s="137">
        <v>1.5</v>
      </c>
      <c r="I84" s="138">
        <v>1.5</v>
      </c>
      <c r="J84" s="97">
        <f>HermÖ!L19</f>
        <v>0.6</v>
      </c>
      <c r="K84" s="31">
        <v>1.5</v>
      </c>
      <c r="L84" s="80">
        <v>1.5</v>
      </c>
      <c r="M84" s="31">
        <v>1.5</v>
      </c>
      <c r="N84" s="83">
        <f>SUM(G84:M84)-G84-I84-H84</f>
        <v>5.0999999999999996</v>
      </c>
    </row>
    <row r="85" spans="1:22" x14ac:dyDescent="0.2">
      <c r="A85" s="71">
        <v>81</v>
      </c>
      <c r="B85" s="38" t="s">
        <v>248</v>
      </c>
      <c r="C85" s="46">
        <v>13540</v>
      </c>
      <c r="D85" s="39" t="s">
        <v>249</v>
      </c>
      <c r="E85" s="40" t="s">
        <v>250</v>
      </c>
      <c r="F85" s="41"/>
      <c r="G85" s="135">
        <v>1.5</v>
      </c>
      <c r="H85" s="31">
        <f>MBBR!P46</f>
        <v>0.6</v>
      </c>
      <c r="I85" s="136">
        <v>1.5</v>
      </c>
      <c r="J85" s="136">
        <v>1.5</v>
      </c>
      <c r="K85" s="31">
        <v>1.5</v>
      </c>
      <c r="L85" s="80">
        <v>1.5</v>
      </c>
      <c r="M85" s="31">
        <v>1.5</v>
      </c>
      <c r="N85" s="83">
        <f>SUM(G85:M85)-G85-I85-J85</f>
        <v>5.0999999999999996</v>
      </c>
    </row>
    <row r="86" spans="1:22" x14ac:dyDescent="0.2">
      <c r="A86" s="71">
        <v>82</v>
      </c>
      <c r="B86" s="20" t="s">
        <v>311</v>
      </c>
      <c r="C86" s="20">
        <v>477</v>
      </c>
      <c r="D86" s="20" t="s">
        <v>401</v>
      </c>
      <c r="E86" s="20" t="s">
        <v>393</v>
      </c>
      <c r="F86" s="28" t="s">
        <v>394</v>
      </c>
      <c r="G86" s="135">
        <v>1.5</v>
      </c>
      <c r="H86" s="135">
        <v>1.5</v>
      </c>
      <c r="I86" s="136">
        <v>1.5</v>
      </c>
      <c r="J86" s="88">
        <v>1.5</v>
      </c>
      <c r="K86" s="31">
        <v>1.5</v>
      </c>
      <c r="L86" s="80">
        <f>TjörnR!M32</f>
        <v>0.61702127659574468</v>
      </c>
      <c r="M86" s="31">
        <v>1.5</v>
      </c>
      <c r="N86" s="83">
        <f>SUM(G86:M86)-G86-H86-I86</f>
        <v>5.1170212765957448</v>
      </c>
    </row>
    <row r="87" spans="1:22" x14ac:dyDescent="0.2">
      <c r="A87" s="71">
        <v>83</v>
      </c>
      <c r="B87" s="20" t="s">
        <v>363</v>
      </c>
      <c r="C87" s="73">
        <v>3</v>
      </c>
      <c r="D87" s="20" t="s">
        <v>364</v>
      </c>
      <c r="E87" s="20" t="s">
        <v>365</v>
      </c>
      <c r="F87" s="20" t="s">
        <v>133</v>
      </c>
      <c r="G87" s="137">
        <v>1.5</v>
      </c>
      <c r="H87" s="137">
        <v>1.5</v>
      </c>
      <c r="I87" s="138">
        <v>1.5</v>
      </c>
      <c r="J87" s="97">
        <v>1.5</v>
      </c>
      <c r="K87" s="31">
        <v>1.5</v>
      </c>
      <c r="L87" s="80">
        <f>TjörnR!M33</f>
        <v>0.63829787234042556</v>
      </c>
      <c r="M87" s="31">
        <v>1.5</v>
      </c>
      <c r="N87" s="83">
        <f>SUM(G87:M87)-G87-H87-I87</f>
        <v>5.1382978723404253</v>
      </c>
    </row>
    <row r="88" spans="1:22" x14ac:dyDescent="0.2">
      <c r="A88" s="69">
        <v>84</v>
      </c>
      <c r="B88" s="38" t="s">
        <v>202</v>
      </c>
      <c r="C88" s="46">
        <v>1</v>
      </c>
      <c r="D88" s="39" t="s">
        <v>203</v>
      </c>
      <c r="E88" s="40" t="s">
        <v>204</v>
      </c>
      <c r="F88" s="41"/>
      <c r="G88" s="137">
        <v>1.5</v>
      </c>
      <c r="H88" s="80">
        <f>MBBR!P49</f>
        <v>0.6428571428571429</v>
      </c>
      <c r="I88" s="138">
        <v>1.5</v>
      </c>
      <c r="J88" s="138">
        <v>1.5</v>
      </c>
      <c r="K88" s="31">
        <v>1.5</v>
      </c>
      <c r="L88" s="80">
        <v>1.5</v>
      </c>
      <c r="M88" s="31">
        <v>1.5</v>
      </c>
      <c r="N88" s="83">
        <f>SUM(G88:M88)-G88-I88-J88</f>
        <v>5.1428571428571423</v>
      </c>
    </row>
    <row r="89" spans="1:22" x14ac:dyDescent="0.2">
      <c r="A89" s="69">
        <v>85</v>
      </c>
      <c r="B89" s="20" t="s">
        <v>305</v>
      </c>
      <c r="C89" s="33">
        <v>6</v>
      </c>
      <c r="D89" s="20" t="s">
        <v>316</v>
      </c>
      <c r="E89" s="20" t="s">
        <v>315</v>
      </c>
      <c r="F89" s="20" t="s">
        <v>286</v>
      </c>
      <c r="G89" s="137">
        <v>1.5</v>
      </c>
      <c r="H89" s="137">
        <v>1.5</v>
      </c>
      <c r="I89" s="138">
        <v>1.5</v>
      </c>
      <c r="J89" s="97">
        <f>HermÖ!L20</f>
        <v>0.65</v>
      </c>
      <c r="K89" s="31">
        <v>1.5</v>
      </c>
      <c r="L89" s="80">
        <v>1.5</v>
      </c>
      <c r="M89" s="31">
        <v>1.5</v>
      </c>
      <c r="N89" s="83">
        <f>SUM(G89:M89)-G89-I89-H89</f>
        <v>5.15</v>
      </c>
    </row>
    <row r="90" spans="1:22" x14ac:dyDescent="0.2">
      <c r="A90" s="20">
        <v>86</v>
      </c>
      <c r="B90" s="38" t="s">
        <v>121</v>
      </c>
      <c r="C90" s="46">
        <v>9267</v>
      </c>
      <c r="D90" s="39" t="s">
        <v>122</v>
      </c>
      <c r="E90" s="40" t="s">
        <v>123</v>
      </c>
      <c r="F90" s="41" t="s">
        <v>124</v>
      </c>
      <c r="G90" s="135">
        <v>1.5</v>
      </c>
      <c r="H90" s="31">
        <f>MBBR!P51</f>
        <v>0.67142857142857137</v>
      </c>
      <c r="I90" s="136">
        <v>1.5</v>
      </c>
      <c r="J90" s="136">
        <v>1.5</v>
      </c>
      <c r="K90" s="31">
        <v>1.5</v>
      </c>
      <c r="L90" s="80">
        <v>1.5</v>
      </c>
      <c r="M90" s="31">
        <v>1.5</v>
      </c>
      <c r="N90" s="83">
        <f>SUM(G90:M90)-G90-I90-J90</f>
        <v>5.1714285714285708</v>
      </c>
    </row>
    <row r="91" spans="1:22" x14ac:dyDescent="0.2">
      <c r="A91" s="69">
        <v>87</v>
      </c>
      <c r="B91" s="20" t="s">
        <v>94</v>
      </c>
      <c r="C91" s="20">
        <v>1</v>
      </c>
      <c r="D91" s="20" t="s">
        <v>366</v>
      </c>
      <c r="E91" s="20" t="s">
        <v>367</v>
      </c>
      <c r="F91" s="20" t="s">
        <v>368</v>
      </c>
      <c r="G91" s="137">
        <v>1.5</v>
      </c>
      <c r="H91" s="137">
        <v>1.5</v>
      </c>
      <c r="I91" s="138">
        <v>1.5</v>
      </c>
      <c r="J91" s="97">
        <v>1.5</v>
      </c>
      <c r="K91" s="31">
        <v>1.5</v>
      </c>
      <c r="L91" s="80">
        <f>TjörnR!M35</f>
        <v>0.68085106382978722</v>
      </c>
      <c r="M91" s="31">
        <v>1.5</v>
      </c>
      <c r="N91" s="83">
        <f>SUM(G91:M91)-G91-H91-I91</f>
        <v>5.1808510638297864</v>
      </c>
    </row>
    <row r="92" spans="1:22" x14ac:dyDescent="0.2">
      <c r="A92" s="69">
        <v>88</v>
      </c>
      <c r="B92" s="20" t="s">
        <v>177</v>
      </c>
      <c r="C92" s="20">
        <v>11512</v>
      </c>
      <c r="D92" s="20" t="s">
        <v>371</v>
      </c>
      <c r="E92" s="20" t="s">
        <v>372</v>
      </c>
      <c r="F92" s="20" t="s">
        <v>373</v>
      </c>
      <c r="G92" s="137">
        <v>1.5</v>
      </c>
      <c r="H92" s="137">
        <v>1.5</v>
      </c>
      <c r="I92" s="138">
        <v>1.5</v>
      </c>
      <c r="J92" s="97">
        <v>1.5</v>
      </c>
      <c r="K92" s="31">
        <v>1.5</v>
      </c>
      <c r="L92" s="80">
        <f>TjörnR!M36</f>
        <v>0.7021276595744681</v>
      </c>
      <c r="M92" s="31">
        <v>1.5</v>
      </c>
      <c r="N92" s="83">
        <f>SUM(G92:M92)-G92-H92-I92</f>
        <v>5.2021276595744688</v>
      </c>
    </row>
    <row r="93" spans="1:22" x14ac:dyDescent="0.2">
      <c r="A93" s="69">
        <v>89</v>
      </c>
      <c r="B93" s="20" t="s">
        <v>29</v>
      </c>
      <c r="C93" s="20">
        <v>100</v>
      </c>
      <c r="D93" s="20" t="s">
        <v>402</v>
      </c>
      <c r="E93" s="20" t="s">
        <v>386</v>
      </c>
      <c r="F93" s="20" t="s">
        <v>66</v>
      </c>
      <c r="G93" s="137">
        <v>1.5</v>
      </c>
      <c r="H93" s="137">
        <v>1.5</v>
      </c>
      <c r="I93" s="138">
        <v>1.5</v>
      </c>
      <c r="J93" s="97">
        <v>1.5</v>
      </c>
      <c r="K93" s="31">
        <v>1.5</v>
      </c>
      <c r="L93" s="80">
        <f>TjörnR!M37</f>
        <v>0.72340425531914898</v>
      </c>
      <c r="M93" s="31">
        <v>1.5</v>
      </c>
      <c r="N93" s="83">
        <f>SUM(G93:M93)-G93-H93-I93</f>
        <v>5.2234042553191493</v>
      </c>
    </row>
    <row r="94" spans="1:22" x14ac:dyDescent="0.2">
      <c r="A94" s="69">
        <v>90</v>
      </c>
      <c r="B94" s="29" t="s">
        <v>327</v>
      </c>
      <c r="C94" s="30" t="s">
        <v>328</v>
      </c>
      <c r="D94" s="29" t="s">
        <v>335</v>
      </c>
      <c r="E94" s="29" t="s">
        <v>329</v>
      </c>
      <c r="F94" s="29" t="s">
        <v>334</v>
      </c>
      <c r="G94" s="137">
        <v>1.5</v>
      </c>
      <c r="H94" s="137">
        <v>1.5</v>
      </c>
      <c r="I94" s="138">
        <v>1.5</v>
      </c>
      <c r="J94" s="97">
        <f>HermÖ!L23</f>
        <v>0.72499999999999998</v>
      </c>
      <c r="K94" s="31">
        <v>1.5</v>
      </c>
      <c r="L94" s="80">
        <v>1.5</v>
      </c>
      <c r="M94" s="31">
        <v>1.5</v>
      </c>
      <c r="N94" s="83">
        <f>SUM(G94:M94)-G94-I94-H94</f>
        <v>5.2249999999999996</v>
      </c>
    </row>
    <row r="95" spans="1:22" x14ac:dyDescent="0.2">
      <c r="A95" s="69">
        <v>91</v>
      </c>
      <c r="B95" s="20" t="s">
        <v>251</v>
      </c>
      <c r="C95" s="33">
        <v>15</v>
      </c>
      <c r="D95" s="20" t="s">
        <v>252</v>
      </c>
      <c r="E95" s="20" t="s">
        <v>253</v>
      </c>
      <c r="F95" s="20"/>
      <c r="G95" s="137">
        <v>1.5</v>
      </c>
      <c r="H95" s="80">
        <f>MBBR!P55</f>
        <v>0.72857142857142854</v>
      </c>
      <c r="I95" s="138">
        <v>1.5</v>
      </c>
      <c r="J95" s="138">
        <v>1.5</v>
      </c>
      <c r="K95" s="31">
        <v>1.5</v>
      </c>
      <c r="L95" s="80">
        <v>1.5</v>
      </c>
      <c r="M95" s="31">
        <v>1.5</v>
      </c>
      <c r="N95" s="83">
        <f>SUM(G95:M95)-G95-I95-J95</f>
        <v>5.2285714285714278</v>
      </c>
    </row>
    <row r="96" spans="1:22" x14ac:dyDescent="0.2">
      <c r="A96" s="69">
        <v>92</v>
      </c>
      <c r="B96" s="20" t="s">
        <v>51</v>
      </c>
      <c r="C96" s="33">
        <v>529</v>
      </c>
      <c r="D96" s="20" t="s">
        <v>208</v>
      </c>
      <c r="E96" s="20" t="s">
        <v>209</v>
      </c>
      <c r="F96" s="20"/>
      <c r="G96" s="137">
        <v>1.5</v>
      </c>
      <c r="H96" s="80">
        <f>MBBR!P56</f>
        <v>0.74285714285714288</v>
      </c>
      <c r="I96" s="138">
        <v>1.5</v>
      </c>
      <c r="J96" s="138">
        <v>1.5</v>
      </c>
      <c r="K96" s="31">
        <v>1.5</v>
      </c>
      <c r="L96" s="80">
        <v>1.5</v>
      </c>
      <c r="M96" s="31">
        <v>1.5</v>
      </c>
      <c r="N96" s="83">
        <f>SUM(G96:M96)-G96-I96-J96</f>
        <v>5.2428571428571438</v>
      </c>
    </row>
    <row r="97" spans="1:14" x14ac:dyDescent="0.2">
      <c r="A97" s="69">
        <v>93</v>
      </c>
      <c r="B97" s="20" t="s">
        <v>387</v>
      </c>
      <c r="C97" s="20">
        <v>5</v>
      </c>
      <c r="D97" s="20" t="s">
        <v>403</v>
      </c>
      <c r="E97" s="20" t="s">
        <v>388</v>
      </c>
      <c r="F97" s="20" t="s">
        <v>58</v>
      </c>
      <c r="G97" s="137">
        <v>1.5</v>
      </c>
      <c r="H97" s="137">
        <v>1.5</v>
      </c>
      <c r="I97" s="138">
        <v>1.5</v>
      </c>
      <c r="J97" s="97">
        <v>1.5</v>
      </c>
      <c r="K97" s="31">
        <v>1.5</v>
      </c>
      <c r="L97" s="80">
        <f>TjörnR!M38</f>
        <v>0.74468085106382975</v>
      </c>
      <c r="M97" s="31">
        <v>1.5</v>
      </c>
      <c r="N97" s="83">
        <f>SUM(G97:M97)-G97-I97-H97</f>
        <v>5.2446808510638299</v>
      </c>
    </row>
    <row r="98" spans="1:14" x14ac:dyDescent="0.2">
      <c r="A98" s="69">
        <v>94</v>
      </c>
      <c r="B98" s="20" t="s">
        <v>307</v>
      </c>
      <c r="C98" s="20">
        <v>16</v>
      </c>
      <c r="D98" s="20" t="s">
        <v>404</v>
      </c>
      <c r="E98" s="20" t="s">
        <v>389</v>
      </c>
      <c r="F98" s="20" t="s">
        <v>66</v>
      </c>
      <c r="G98" s="137">
        <v>1.5</v>
      </c>
      <c r="H98" s="137">
        <v>1.5</v>
      </c>
      <c r="I98" s="138">
        <v>1.5</v>
      </c>
      <c r="J98" s="97">
        <v>1.5</v>
      </c>
      <c r="K98" s="31">
        <v>1.5</v>
      </c>
      <c r="L98" s="80">
        <f>TjörnR!M39</f>
        <v>0.76595744680851063</v>
      </c>
      <c r="M98" s="31">
        <v>1.5</v>
      </c>
      <c r="N98" s="83">
        <f>SUM(G98:M98)-G98-I98-H98</f>
        <v>5.2659574468085104</v>
      </c>
    </row>
    <row r="99" spans="1:14" x14ac:dyDescent="0.2">
      <c r="A99" s="69">
        <v>95</v>
      </c>
      <c r="B99" s="38" t="s">
        <v>254</v>
      </c>
      <c r="C99" s="46">
        <v>5006</v>
      </c>
      <c r="D99" s="39" t="s">
        <v>90</v>
      </c>
      <c r="E99" s="40" t="s">
        <v>91</v>
      </c>
      <c r="F99" s="41"/>
      <c r="G99" s="137">
        <v>1.5</v>
      </c>
      <c r="H99" s="80">
        <f>MBBR!P59</f>
        <v>0.7857142857142857</v>
      </c>
      <c r="I99" s="138">
        <v>1.5</v>
      </c>
      <c r="J99" s="138">
        <v>1.5</v>
      </c>
      <c r="K99" s="31">
        <v>1.5</v>
      </c>
      <c r="L99" s="80">
        <v>1.5</v>
      </c>
      <c r="M99" s="31">
        <v>1.5</v>
      </c>
      <c r="N99" s="83">
        <f>SUM(G99:M99)-G99-I99-J99</f>
        <v>5.2857142857142847</v>
      </c>
    </row>
    <row r="100" spans="1:14" x14ac:dyDescent="0.2">
      <c r="A100" s="69">
        <v>96</v>
      </c>
      <c r="B100" s="20" t="s">
        <v>383</v>
      </c>
      <c r="C100" s="20">
        <v>1058</v>
      </c>
      <c r="D100" s="20" t="s">
        <v>405</v>
      </c>
      <c r="E100" s="20" t="s">
        <v>384</v>
      </c>
      <c r="F100" s="20" t="s">
        <v>385</v>
      </c>
      <c r="G100" s="137">
        <v>1.5</v>
      </c>
      <c r="H100" s="137">
        <v>1.5</v>
      </c>
      <c r="I100" s="138">
        <v>1.5</v>
      </c>
      <c r="J100" s="97">
        <v>1.5</v>
      </c>
      <c r="K100" s="31">
        <v>1.5</v>
      </c>
      <c r="L100" s="80">
        <f>TjörnR!M40</f>
        <v>0.78723404255319152</v>
      </c>
      <c r="M100" s="31">
        <v>1.5</v>
      </c>
      <c r="N100" s="83">
        <f>SUM(G100:M100)-G100-I100-H100</f>
        <v>5.287234042553191</v>
      </c>
    </row>
    <row r="101" spans="1:14" x14ac:dyDescent="0.2">
      <c r="A101" s="28">
        <v>97</v>
      </c>
      <c r="B101" s="38" t="s">
        <v>29</v>
      </c>
      <c r="C101" s="46">
        <v>348</v>
      </c>
      <c r="D101" s="39" t="s">
        <v>212</v>
      </c>
      <c r="E101" s="40" t="s">
        <v>213</v>
      </c>
      <c r="F101" s="41"/>
      <c r="G101" s="135">
        <v>1.5</v>
      </c>
      <c r="H101" s="31">
        <f>MBBR!P60</f>
        <v>0.8</v>
      </c>
      <c r="I101" s="136">
        <v>1.5</v>
      </c>
      <c r="J101" s="136">
        <v>1.5</v>
      </c>
      <c r="K101" s="31">
        <v>1.5</v>
      </c>
      <c r="L101" s="80">
        <v>1.5</v>
      </c>
      <c r="M101" s="31">
        <v>1.5</v>
      </c>
      <c r="N101" s="83">
        <f>SUM(G101:M101)-G101-I101-J101</f>
        <v>5.3000000000000007</v>
      </c>
    </row>
    <row r="102" spans="1:14" s="98" customFormat="1" x14ac:dyDescent="0.2">
      <c r="A102" s="69">
        <v>98</v>
      </c>
      <c r="B102" s="20" t="s">
        <v>51</v>
      </c>
      <c r="C102" s="33">
        <v>163</v>
      </c>
      <c r="D102" s="20" t="s">
        <v>312</v>
      </c>
      <c r="E102" s="20" t="s">
        <v>313</v>
      </c>
      <c r="F102" s="20" t="s">
        <v>331</v>
      </c>
      <c r="G102" s="137">
        <v>1.5</v>
      </c>
      <c r="H102" s="137">
        <v>1.5</v>
      </c>
      <c r="I102" s="138">
        <v>1.5</v>
      </c>
      <c r="J102" s="97">
        <f>HermÖ!L25</f>
        <v>0.8</v>
      </c>
      <c r="K102" s="31">
        <v>1.5</v>
      </c>
      <c r="L102" s="80">
        <v>1.5</v>
      </c>
      <c r="M102" s="31">
        <v>1.5</v>
      </c>
      <c r="N102" s="83">
        <f>SUM(G102:M102)-G102-I102-H102</f>
        <v>5.3000000000000007</v>
      </c>
    </row>
    <row r="103" spans="1:14" s="98" customFormat="1" x14ac:dyDescent="0.2">
      <c r="A103" s="69">
        <v>99</v>
      </c>
      <c r="B103" s="20" t="s">
        <v>395</v>
      </c>
      <c r="C103" s="20">
        <v>8095</v>
      </c>
      <c r="D103" s="20" t="s">
        <v>406</v>
      </c>
      <c r="E103" s="20" t="s">
        <v>396</v>
      </c>
      <c r="F103" s="20" t="s">
        <v>26</v>
      </c>
      <c r="G103" s="137">
        <v>1.5</v>
      </c>
      <c r="H103" s="137">
        <v>1.5</v>
      </c>
      <c r="I103" s="138">
        <v>1.5</v>
      </c>
      <c r="J103" s="97">
        <v>1.5</v>
      </c>
      <c r="K103" s="31">
        <v>1.5</v>
      </c>
      <c r="L103" s="80">
        <f>TjörnR!M41</f>
        <v>0.80851063829787229</v>
      </c>
      <c r="M103" s="31">
        <v>1.5</v>
      </c>
      <c r="N103" s="83">
        <f>SUM(G103:M103)-G103-I103-H103</f>
        <v>5.3085106382978715</v>
      </c>
    </row>
    <row r="104" spans="1:14" s="98" customFormat="1" x14ac:dyDescent="0.2">
      <c r="A104" s="69">
        <v>100</v>
      </c>
      <c r="B104" s="20" t="s">
        <v>145</v>
      </c>
      <c r="C104" s="33">
        <v>350</v>
      </c>
      <c r="D104" s="20" t="s">
        <v>146</v>
      </c>
      <c r="E104" s="20" t="s">
        <v>147</v>
      </c>
      <c r="F104" s="20" t="s">
        <v>26</v>
      </c>
      <c r="G104" s="137">
        <v>1.5</v>
      </c>
      <c r="H104" s="80">
        <f>MBBR!P62</f>
        <v>0.82857142857142863</v>
      </c>
      <c r="I104" s="138">
        <v>1.5</v>
      </c>
      <c r="J104" s="138">
        <v>1.5</v>
      </c>
      <c r="K104" s="31">
        <v>1.5</v>
      </c>
      <c r="L104" s="80">
        <v>1.5</v>
      </c>
      <c r="M104" s="31">
        <v>1.5</v>
      </c>
      <c r="N104" s="83">
        <f t="shared" ref="N104:N111" si="8">SUM(G104:M104)-G104-I104-J104</f>
        <v>5.3285714285714292</v>
      </c>
    </row>
    <row r="105" spans="1:14" s="98" customFormat="1" x14ac:dyDescent="0.2">
      <c r="A105" s="69">
        <v>101</v>
      </c>
      <c r="B105" s="42" t="s">
        <v>40</v>
      </c>
      <c r="C105" s="43">
        <v>10035</v>
      </c>
      <c r="D105" s="44" t="s">
        <v>97</v>
      </c>
      <c r="E105" s="37" t="s">
        <v>98</v>
      </c>
      <c r="F105" s="45" t="s">
        <v>26</v>
      </c>
      <c r="G105" s="137">
        <v>1.5</v>
      </c>
      <c r="H105" s="80">
        <f>MBBR!P63</f>
        <v>0.84285714285714286</v>
      </c>
      <c r="I105" s="138">
        <v>1.5</v>
      </c>
      <c r="J105" s="138">
        <v>1.5</v>
      </c>
      <c r="K105" s="31">
        <v>1.5</v>
      </c>
      <c r="L105" s="80">
        <v>1.5</v>
      </c>
      <c r="M105" s="31">
        <v>1.5</v>
      </c>
      <c r="N105" s="83">
        <f t="shared" si="8"/>
        <v>5.3428571428571434</v>
      </c>
    </row>
    <row r="106" spans="1:14" s="98" customFormat="1" x14ac:dyDescent="0.2">
      <c r="A106" s="69">
        <v>102</v>
      </c>
      <c r="B106" s="20" t="s">
        <v>92</v>
      </c>
      <c r="C106" s="33">
        <v>265</v>
      </c>
      <c r="D106" s="20" t="s">
        <v>267</v>
      </c>
      <c r="E106" s="20" t="s">
        <v>266</v>
      </c>
      <c r="F106" s="20"/>
      <c r="G106" s="137">
        <v>1.5</v>
      </c>
      <c r="H106" s="80">
        <f>MBBR!P66</f>
        <v>0.88571428571428568</v>
      </c>
      <c r="I106" s="138">
        <v>1.5</v>
      </c>
      <c r="J106" s="138">
        <v>1.5</v>
      </c>
      <c r="K106" s="31">
        <v>1.5</v>
      </c>
      <c r="L106" s="80">
        <v>1.5</v>
      </c>
      <c r="M106" s="31">
        <v>1.5</v>
      </c>
      <c r="N106" s="83">
        <f t="shared" si="8"/>
        <v>5.3857142857142861</v>
      </c>
    </row>
    <row r="107" spans="1:14" s="98" customFormat="1" x14ac:dyDescent="0.2">
      <c r="A107" s="69">
        <v>103</v>
      </c>
      <c r="B107" s="29" t="s">
        <v>140</v>
      </c>
      <c r="C107" s="30" t="s">
        <v>255</v>
      </c>
      <c r="D107" s="29" t="s">
        <v>256</v>
      </c>
      <c r="E107" s="29" t="s">
        <v>154</v>
      </c>
      <c r="F107" s="29"/>
      <c r="G107" s="137">
        <v>1.5</v>
      </c>
      <c r="H107" s="80">
        <f>MBBR!P67</f>
        <v>0.9</v>
      </c>
      <c r="I107" s="138">
        <v>1.5</v>
      </c>
      <c r="J107" s="138">
        <v>1.5</v>
      </c>
      <c r="K107" s="31">
        <v>1.5</v>
      </c>
      <c r="L107" s="80">
        <v>1.5</v>
      </c>
      <c r="M107" s="31">
        <v>1.5</v>
      </c>
      <c r="N107" s="83">
        <f t="shared" si="8"/>
        <v>5.4</v>
      </c>
    </row>
    <row r="108" spans="1:14" s="98" customFormat="1" x14ac:dyDescent="0.2">
      <c r="A108" s="69">
        <v>104</v>
      </c>
      <c r="B108" s="29" t="s">
        <v>118</v>
      </c>
      <c r="C108" s="30" t="s">
        <v>257</v>
      </c>
      <c r="D108" s="29" t="s">
        <v>258</v>
      </c>
      <c r="E108" s="29" t="s">
        <v>259</v>
      </c>
      <c r="F108" s="29"/>
      <c r="G108" s="137">
        <v>1.5</v>
      </c>
      <c r="H108" s="80">
        <f>MBBR!P70</f>
        <v>0.94285714285714284</v>
      </c>
      <c r="I108" s="138">
        <v>1.5</v>
      </c>
      <c r="J108" s="138">
        <v>1.5</v>
      </c>
      <c r="K108" s="31">
        <v>1.5</v>
      </c>
      <c r="L108" s="80">
        <v>1.5</v>
      </c>
      <c r="M108" s="31">
        <v>1.5</v>
      </c>
      <c r="N108" s="83">
        <f t="shared" si="8"/>
        <v>5.4428571428571431</v>
      </c>
    </row>
    <row r="109" spans="1:14" s="98" customFormat="1" x14ac:dyDescent="0.2">
      <c r="A109" s="69">
        <v>105</v>
      </c>
      <c r="B109" s="38" t="s">
        <v>105</v>
      </c>
      <c r="C109" s="46">
        <v>68</v>
      </c>
      <c r="D109" s="39" t="s">
        <v>218</v>
      </c>
      <c r="E109" s="40" t="s">
        <v>219</v>
      </c>
      <c r="F109" s="41"/>
      <c r="G109" s="137">
        <v>1.5</v>
      </c>
      <c r="H109" s="80">
        <f>MBBR!P71</f>
        <v>0.95714285714285718</v>
      </c>
      <c r="I109" s="138">
        <v>1.5</v>
      </c>
      <c r="J109" s="138">
        <v>1.5</v>
      </c>
      <c r="K109" s="31">
        <v>1.5</v>
      </c>
      <c r="L109" s="80">
        <v>1.5</v>
      </c>
      <c r="M109" s="31">
        <v>1.5</v>
      </c>
      <c r="N109" s="83">
        <f t="shared" si="8"/>
        <v>5.4571428571428573</v>
      </c>
    </row>
    <row r="110" spans="1:14" s="98" customFormat="1" x14ac:dyDescent="0.2">
      <c r="A110" s="69">
        <v>106</v>
      </c>
      <c r="B110" s="20" t="s">
        <v>145</v>
      </c>
      <c r="C110" s="33"/>
      <c r="D110" s="20" t="s">
        <v>220</v>
      </c>
      <c r="E110" s="20" t="s">
        <v>221</v>
      </c>
      <c r="F110" s="20"/>
      <c r="G110" s="137">
        <v>1.5</v>
      </c>
      <c r="H110" s="80">
        <f>MBBR!P73</f>
        <v>0.98571428571428577</v>
      </c>
      <c r="I110" s="138">
        <v>1.5</v>
      </c>
      <c r="J110" s="138">
        <v>1.5</v>
      </c>
      <c r="K110" s="31">
        <v>1.5</v>
      </c>
      <c r="L110" s="80">
        <v>1.5</v>
      </c>
      <c r="M110" s="31">
        <v>1.5</v>
      </c>
      <c r="N110" s="83">
        <f t="shared" si="8"/>
        <v>5.4857142857142858</v>
      </c>
    </row>
    <row r="111" spans="1:14" s="98" customFormat="1" x14ac:dyDescent="0.2">
      <c r="A111" s="69">
        <v>107</v>
      </c>
      <c r="B111" s="38" t="s">
        <v>261</v>
      </c>
      <c r="C111" s="46">
        <v>13853</v>
      </c>
      <c r="D111" s="39" t="s">
        <v>262</v>
      </c>
      <c r="E111" s="40" t="s">
        <v>263</v>
      </c>
      <c r="F111" s="41"/>
      <c r="G111" s="137">
        <v>1.5</v>
      </c>
      <c r="H111" s="80">
        <f>MBBR!P74</f>
        <v>1</v>
      </c>
      <c r="I111" s="138">
        <v>1.5</v>
      </c>
      <c r="J111" s="138">
        <v>1.5</v>
      </c>
      <c r="K111" s="31">
        <v>1.5</v>
      </c>
      <c r="L111" s="80">
        <v>1.5</v>
      </c>
      <c r="M111" s="31">
        <v>1.5</v>
      </c>
      <c r="N111" s="83">
        <f t="shared" si="8"/>
        <v>5.5</v>
      </c>
    </row>
    <row r="112" spans="1:14" s="98" customFormat="1" x14ac:dyDescent="0.2">
      <c r="A112" s="69">
        <v>108</v>
      </c>
      <c r="B112" s="20" t="s">
        <v>29</v>
      </c>
      <c r="C112" s="20">
        <v>80</v>
      </c>
      <c r="D112" s="20" t="s">
        <v>407</v>
      </c>
      <c r="E112" s="20" t="s">
        <v>390</v>
      </c>
      <c r="F112" s="20" t="s">
        <v>173</v>
      </c>
      <c r="G112" s="137">
        <v>1.5</v>
      </c>
      <c r="H112" s="137">
        <v>1.5</v>
      </c>
      <c r="I112" s="138">
        <v>1.5</v>
      </c>
      <c r="J112" s="97">
        <v>1.5</v>
      </c>
      <c r="K112" s="31">
        <v>1.5</v>
      </c>
      <c r="L112" s="80">
        <f>TjörnR!M43</f>
        <v>1.0212765957446808</v>
      </c>
      <c r="M112" s="31">
        <v>1.5</v>
      </c>
      <c r="N112" s="83">
        <f t="shared" ref="N112:N122" si="9">SUM(G112:M112)-G112-I112-H112</f>
        <v>5.5212765957446805</v>
      </c>
    </row>
    <row r="113" spans="1:14" s="98" customFormat="1" x14ac:dyDescent="0.2">
      <c r="A113" s="69">
        <v>109</v>
      </c>
      <c r="B113" s="20" t="s">
        <v>350</v>
      </c>
      <c r="C113" s="20">
        <v>47</v>
      </c>
      <c r="D113" s="20" t="s">
        <v>351</v>
      </c>
      <c r="E113" s="20" t="s">
        <v>352</v>
      </c>
      <c r="F113" s="20" t="s">
        <v>66</v>
      </c>
      <c r="G113" s="137">
        <v>1.5</v>
      </c>
      <c r="H113" s="137">
        <v>1.5</v>
      </c>
      <c r="I113" s="138">
        <v>1.5</v>
      </c>
      <c r="J113" s="97">
        <v>1.5</v>
      </c>
      <c r="K113" s="31">
        <v>1.5</v>
      </c>
      <c r="L113" s="80">
        <f>TjörnR!M44</f>
        <v>1.0212765957446808</v>
      </c>
      <c r="M113" s="31">
        <v>1.5</v>
      </c>
      <c r="N113" s="83">
        <f t="shared" si="9"/>
        <v>5.5212765957446805</v>
      </c>
    </row>
    <row r="114" spans="1:14" s="98" customFormat="1" x14ac:dyDescent="0.2">
      <c r="A114" s="69">
        <v>110</v>
      </c>
      <c r="B114" s="20" t="s">
        <v>311</v>
      </c>
      <c r="C114" s="20">
        <v>5407</v>
      </c>
      <c r="D114" s="20" t="s">
        <v>408</v>
      </c>
      <c r="E114" s="20" t="s">
        <v>391</v>
      </c>
      <c r="F114" s="20" t="s">
        <v>26</v>
      </c>
      <c r="G114" s="137">
        <v>1.5</v>
      </c>
      <c r="H114" s="137">
        <v>1.5</v>
      </c>
      <c r="I114" s="138">
        <v>1.5</v>
      </c>
      <c r="J114" s="97">
        <v>1.5</v>
      </c>
      <c r="K114" s="31">
        <v>1.5</v>
      </c>
      <c r="L114" s="80">
        <f>TjörnR!M47</f>
        <v>1.0212765957446808</v>
      </c>
      <c r="M114" s="31">
        <v>1.5</v>
      </c>
      <c r="N114" s="83">
        <f t="shared" si="9"/>
        <v>5.5212765957446805</v>
      </c>
    </row>
    <row r="115" spans="1:14" s="98" customFormat="1" x14ac:dyDescent="0.2">
      <c r="A115" s="69">
        <v>111</v>
      </c>
      <c r="B115" s="20" t="s">
        <v>369</v>
      </c>
      <c r="C115" s="20">
        <v>10830</v>
      </c>
      <c r="D115" s="20" t="s">
        <v>409</v>
      </c>
      <c r="E115" s="20" t="s">
        <v>370</v>
      </c>
      <c r="F115" s="20" t="s">
        <v>62</v>
      </c>
      <c r="G115" s="137">
        <v>1.5</v>
      </c>
      <c r="H115" s="137">
        <v>1.5</v>
      </c>
      <c r="I115" s="138">
        <v>1.5</v>
      </c>
      <c r="J115" s="97">
        <v>1.5</v>
      </c>
      <c r="K115" s="31">
        <v>1.5</v>
      </c>
      <c r="L115" s="80">
        <f>TjörnR!M49</f>
        <v>1.0212765957446808</v>
      </c>
      <c r="M115" s="31">
        <v>1.5</v>
      </c>
      <c r="N115" s="83">
        <f t="shared" si="9"/>
        <v>5.5212765957446805</v>
      </c>
    </row>
    <row r="116" spans="1:14" s="98" customFormat="1" x14ac:dyDescent="0.2">
      <c r="A116" s="69">
        <v>112</v>
      </c>
      <c r="B116" s="20" t="s">
        <v>307</v>
      </c>
      <c r="C116" s="20">
        <v>21</v>
      </c>
      <c r="D116" s="20" t="s">
        <v>308</v>
      </c>
      <c r="E116" s="20" t="s">
        <v>309</v>
      </c>
      <c r="F116" s="20" t="s">
        <v>310</v>
      </c>
      <c r="G116" s="137">
        <v>1.5</v>
      </c>
      <c r="H116" s="137">
        <v>1.5</v>
      </c>
      <c r="I116" s="138">
        <v>1.5</v>
      </c>
      <c r="J116" s="97">
        <f>HermÖ!L27</f>
        <v>1.5</v>
      </c>
      <c r="K116" s="31">
        <v>1.5</v>
      </c>
      <c r="L116" s="80">
        <v>1.5</v>
      </c>
      <c r="M116" s="31">
        <v>1.5</v>
      </c>
      <c r="N116" s="83">
        <f t="shared" si="9"/>
        <v>6</v>
      </c>
    </row>
    <row r="117" spans="1:14" s="98" customFormat="1" x14ac:dyDescent="0.2">
      <c r="A117" s="69">
        <v>113</v>
      </c>
      <c r="B117" s="29" t="s">
        <v>105</v>
      </c>
      <c r="C117" s="30" t="s">
        <v>222</v>
      </c>
      <c r="D117" s="29" t="s">
        <v>223</v>
      </c>
      <c r="E117" s="29" t="s">
        <v>224</v>
      </c>
      <c r="F117" s="29"/>
      <c r="G117" s="137">
        <v>1.5</v>
      </c>
      <c r="H117" s="137">
        <v>1.5</v>
      </c>
      <c r="I117" s="138">
        <v>1.5</v>
      </c>
      <c r="J117" s="97">
        <v>1.5</v>
      </c>
      <c r="K117" s="31">
        <v>1.5</v>
      </c>
      <c r="L117" s="80">
        <v>1.5</v>
      </c>
      <c r="M117" s="31">
        <v>1.5</v>
      </c>
      <c r="N117" s="83">
        <f t="shared" si="9"/>
        <v>6</v>
      </c>
    </row>
    <row r="118" spans="1:14" s="98" customFormat="1" x14ac:dyDescent="0.2">
      <c r="A118" s="69">
        <v>114</v>
      </c>
      <c r="B118" s="38" t="s">
        <v>105</v>
      </c>
      <c r="C118" s="46">
        <v>202</v>
      </c>
      <c r="D118" s="39" t="s">
        <v>115</v>
      </c>
      <c r="E118" s="40" t="s">
        <v>116</v>
      </c>
      <c r="F118" s="41" t="s">
        <v>117</v>
      </c>
      <c r="G118" s="137">
        <v>1.5</v>
      </c>
      <c r="H118" s="137">
        <v>1.5</v>
      </c>
      <c r="I118" s="138">
        <v>1.5</v>
      </c>
      <c r="J118" s="97">
        <v>1.5</v>
      </c>
      <c r="K118" s="31">
        <v>1.5</v>
      </c>
      <c r="L118" s="80">
        <v>1.5</v>
      </c>
      <c r="M118" s="31">
        <v>1.5</v>
      </c>
      <c r="N118" s="83">
        <f t="shared" si="9"/>
        <v>6</v>
      </c>
    </row>
    <row r="119" spans="1:14" s="98" customFormat="1" x14ac:dyDescent="0.2">
      <c r="A119" s="69">
        <v>115</v>
      </c>
      <c r="B119" s="20" t="s">
        <v>264</v>
      </c>
      <c r="C119" s="33">
        <v>9779</v>
      </c>
      <c r="D119" s="20" t="s">
        <v>265</v>
      </c>
      <c r="E119" s="20" t="s">
        <v>87</v>
      </c>
      <c r="F119" s="20"/>
      <c r="G119" s="137">
        <v>1.5</v>
      </c>
      <c r="H119" s="137">
        <v>1.5</v>
      </c>
      <c r="I119" s="138">
        <v>1.5</v>
      </c>
      <c r="J119" s="97">
        <v>1.5</v>
      </c>
      <c r="K119" s="31">
        <v>1.5</v>
      </c>
      <c r="L119" s="80">
        <v>1.5</v>
      </c>
      <c r="M119" s="31">
        <v>1.5</v>
      </c>
      <c r="N119" s="83">
        <f t="shared" si="9"/>
        <v>6</v>
      </c>
    </row>
    <row r="120" spans="1:14" s="98" customFormat="1" x14ac:dyDescent="0.2">
      <c r="A120" s="69">
        <v>116</v>
      </c>
      <c r="B120" s="29" t="s">
        <v>51</v>
      </c>
      <c r="C120" s="30" t="s">
        <v>291</v>
      </c>
      <c r="D120" s="29" t="s">
        <v>292</v>
      </c>
      <c r="E120" s="29" t="s">
        <v>293</v>
      </c>
      <c r="F120" s="29" t="s">
        <v>66</v>
      </c>
      <c r="G120" s="137">
        <v>1.5</v>
      </c>
      <c r="H120" s="137">
        <v>1.5</v>
      </c>
      <c r="I120" s="138">
        <f>PaterN!L26</f>
        <v>1.5</v>
      </c>
      <c r="J120" s="97">
        <f>HermÖ!L27</f>
        <v>1.5</v>
      </c>
      <c r="K120" s="31">
        <v>1.5</v>
      </c>
      <c r="L120" s="80">
        <v>1.5</v>
      </c>
      <c r="M120" s="31">
        <v>1.5</v>
      </c>
      <c r="N120" s="83">
        <f t="shared" si="9"/>
        <v>6</v>
      </c>
    </row>
    <row r="121" spans="1:14" s="98" customFormat="1" x14ac:dyDescent="0.2">
      <c r="A121" s="69">
        <v>117</v>
      </c>
      <c r="B121" s="20" t="s">
        <v>320</v>
      </c>
      <c r="C121" s="20">
        <v>303</v>
      </c>
      <c r="D121" s="20" t="s">
        <v>410</v>
      </c>
      <c r="E121" s="20" t="s">
        <v>392</v>
      </c>
      <c r="F121" s="20" t="s">
        <v>155</v>
      </c>
      <c r="G121" s="137">
        <v>1.5</v>
      </c>
      <c r="H121" s="137">
        <v>1.5</v>
      </c>
      <c r="I121" s="138">
        <v>1.5</v>
      </c>
      <c r="J121" s="97">
        <v>1.5</v>
      </c>
      <c r="K121" s="31">
        <v>1.5</v>
      </c>
      <c r="L121" s="80">
        <f>TjörnR!M51</f>
        <v>1.5</v>
      </c>
      <c r="M121" s="31">
        <v>1.5</v>
      </c>
      <c r="N121" s="83">
        <f t="shared" si="9"/>
        <v>6</v>
      </c>
    </row>
    <row r="122" spans="1:14" s="98" customFormat="1" x14ac:dyDescent="0.2">
      <c r="A122" s="69">
        <v>118</v>
      </c>
      <c r="B122" s="20" t="s">
        <v>71</v>
      </c>
      <c r="C122" s="20">
        <v>39</v>
      </c>
      <c r="D122" s="20" t="s">
        <v>411</v>
      </c>
      <c r="E122" s="20" t="s">
        <v>132</v>
      </c>
      <c r="F122" s="20" t="s">
        <v>133</v>
      </c>
      <c r="G122" s="137">
        <v>1.5</v>
      </c>
      <c r="H122" s="137">
        <v>1.5</v>
      </c>
      <c r="I122" s="138">
        <v>1.5</v>
      </c>
      <c r="J122" s="97">
        <v>1.5</v>
      </c>
      <c r="K122" s="31">
        <v>1.5</v>
      </c>
      <c r="L122" s="80">
        <f>TjörnR!M52</f>
        <v>1.5</v>
      </c>
      <c r="M122" s="31">
        <v>1.5</v>
      </c>
      <c r="N122" s="83">
        <f t="shared" si="9"/>
        <v>6</v>
      </c>
    </row>
    <row r="123" spans="1:14" s="98" customFormat="1" x14ac:dyDescent="0.2">
      <c r="A123" s="28">
        <v>119</v>
      </c>
      <c r="B123" s="29" t="s">
        <v>177</v>
      </c>
      <c r="C123" s="30" t="s">
        <v>294</v>
      </c>
      <c r="D123" s="29" t="s">
        <v>295</v>
      </c>
      <c r="E123" s="29" t="s">
        <v>296</v>
      </c>
      <c r="F123" s="29" t="s">
        <v>133</v>
      </c>
      <c r="G123" s="135">
        <v>1.5</v>
      </c>
      <c r="H123" s="135">
        <v>1.5</v>
      </c>
      <c r="I123" s="88">
        <f>PaterN!L27</f>
        <v>1.0227272727272727</v>
      </c>
      <c r="J123" s="136">
        <v>1.5</v>
      </c>
      <c r="K123" s="31">
        <v>1.5</v>
      </c>
      <c r="L123" s="31">
        <v>1.5</v>
      </c>
      <c r="M123" s="31">
        <v>1.5</v>
      </c>
      <c r="N123" s="83">
        <f>SUM(G123:M123)-G123-I123-J123</f>
        <v>6.0000000000000009</v>
      </c>
    </row>
  </sheetData>
  <sortState ref="B5:N123">
    <sortCondition ref="N5:N123"/>
  </sortState>
  <phoneticPr fontId="8" type="noConversion"/>
  <pageMargins left="0.7" right="0.7" top="0.75" bottom="0.75" header="0.3" footer="0.3"/>
  <pageSetup paperSize="9" scale="6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0"/>
  <sheetViews>
    <sheetView workbookViewId="0"/>
  </sheetViews>
  <sheetFormatPr baseColWidth="10" defaultColWidth="8.83203125" defaultRowHeight="15" x14ac:dyDescent="0.2"/>
  <cols>
    <col min="1" max="1" width="4.6640625" style="1" customWidth="1"/>
    <col min="2" max="2" width="25.6640625" style="1" customWidth="1"/>
    <col min="3" max="3" width="8.6640625" style="1" customWidth="1"/>
    <col min="4" max="6" width="25.6640625" style="1" customWidth="1"/>
    <col min="7" max="7" width="10.6640625" style="6" customWidth="1"/>
    <col min="8" max="8" width="9.6640625" style="23" customWidth="1"/>
    <col min="9" max="9" width="9.6640625" style="2" customWidth="1"/>
    <col min="10" max="10" width="9.83203125" style="2" customWidth="1"/>
    <col min="11" max="12" width="3.6640625" style="2" customWidth="1"/>
    <col min="13" max="13" width="4" style="2" bestFit="1" customWidth="1"/>
    <col min="14" max="14" width="3.6640625" style="2" bestFit="1" customWidth="1"/>
    <col min="15" max="15" width="8.83203125" style="2"/>
    <col min="16" max="16384" width="8.83203125" style="1"/>
  </cols>
  <sheetData>
    <row r="1" spans="1:15" x14ac:dyDescent="0.2">
      <c r="A1" s="21" t="s">
        <v>49</v>
      </c>
    </row>
    <row r="2" spans="1:15" x14ac:dyDescent="0.2">
      <c r="A2" s="1" t="s">
        <v>13</v>
      </c>
    </row>
    <row r="3" spans="1:15" ht="16" thickBot="1" x14ac:dyDescent="0.25"/>
    <row r="4" spans="1:15" ht="16" thickBo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20</v>
      </c>
      <c r="H4" s="13" t="s">
        <v>23</v>
      </c>
      <c r="I4" s="13" t="s">
        <v>24</v>
      </c>
      <c r="J4" s="4" t="s">
        <v>12</v>
      </c>
    </row>
    <row r="5" spans="1:15" s="9" customFormat="1" x14ac:dyDescent="0.2">
      <c r="A5" s="12">
        <v>1</v>
      </c>
      <c r="B5" s="52" t="s">
        <v>29</v>
      </c>
      <c r="C5" s="73">
        <v>306</v>
      </c>
      <c r="D5" s="52" t="s">
        <v>30</v>
      </c>
      <c r="E5" s="52" t="s">
        <v>31</v>
      </c>
      <c r="F5" s="52" t="s">
        <v>25</v>
      </c>
      <c r="G5" s="72">
        <v>1.0169999999999999</v>
      </c>
      <c r="H5" s="14">
        <v>0.22869212962962962</v>
      </c>
      <c r="I5" s="19">
        <f t="shared" ref="I5:I14" si="0">G5*H5</f>
        <v>0.2325798958333333</v>
      </c>
      <c r="J5" s="7">
        <f>4/21</f>
        <v>0.19047619047619047</v>
      </c>
      <c r="K5" s="10"/>
      <c r="L5" s="10"/>
      <c r="M5" s="10"/>
      <c r="N5" s="10"/>
      <c r="O5" s="10"/>
    </row>
    <row r="6" spans="1:15" s="9" customFormat="1" x14ac:dyDescent="0.2">
      <c r="A6" s="12">
        <v>2</v>
      </c>
      <c r="B6" s="20" t="s">
        <v>51</v>
      </c>
      <c r="C6" s="75">
        <v>586</v>
      </c>
      <c r="D6" s="20" t="s">
        <v>52</v>
      </c>
      <c r="E6" s="20" t="s">
        <v>53</v>
      </c>
      <c r="F6" s="20" t="s">
        <v>26</v>
      </c>
      <c r="G6" s="72">
        <v>1.0289999999999999</v>
      </c>
      <c r="H6" s="14">
        <v>0.22953703703703701</v>
      </c>
      <c r="I6" s="19">
        <f t="shared" si="0"/>
        <v>0.23619361111111106</v>
      </c>
      <c r="J6" s="7">
        <f>8/21</f>
        <v>0.38095238095238093</v>
      </c>
      <c r="K6" s="10"/>
      <c r="L6" s="10"/>
      <c r="M6" s="10"/>
      <c r="N6" s="10"/>
      <c r="O6" s="10"/>
    </row>
    <row r="7" spans="1:15" s="9" customFormat="1" x14ac:dyDescent="0.2">
      <c r="A7" s="12">
        <v>3</v>
      </c>
      <c r="B7" s="11" t="s">
        <v>59</v>
      </c>
      <c r="C7" s="74">
        <v>6830</v>
      </c>
      <c r="D7" s="11" t="s">
        <v>60</v>
      </c>
      <c r="E7" s="11" t="s">
        <v>61</v>
      </c>
      <c r="F7" s="11" t="s">
        <v>62</v>
      </c>
      <c r="G7" s="72">
        <v>1.0469999999999999</v>
      </c>
      <c r="H7" s="14">
        <v>0.22738425925925929</v>
      </c>
      <c r="I7" s="19">
        <f t="shared" si="0"/>
        <v>0.23807131944444446</v>
      </c>
      <c r="J7" s="7">
        <f>9/21</f>
        <v>0.42857142857142855</v>
      </c>
      <c r="K7" s="10"/>
      <c r="L7" s="10"/>
      <c r="M7" s="10"/>
      <c r="N7" s="10"/>
      <c r="O7" s="10"/>
    </row>
    <row r="8" spans="1:15" s="9" customFormat="1" x14ac:dyDescent="0.2">
      <c r="A8" s="12">
        <v>4</v>
      </c>
      <c r="B8" s="20" t="s">
        <v>54</v>
      </c>
      <c r="C8" s="75" t="s">
        <v>55</v>
      </c>
      <c r="D8" s="20" t="s">
        <v>56</v>
      </c>
      <c r="E8" s="20" t="s">
        <v>57</v>
      </c>
      <c r="F8" s="20" t="s">
        <v>58</v>
      </c>
      <c r="G8" s="76">
        <v>1.0469999999999999</v>
      </c>
      <c r="H8" s="14">
        <v>0.22741898148148146</v>
      </c>
      <c r="I8" s="19">
        <f t="shared" si="0"/>
        <v>0.23810767361111107</v>
      </c>
      <c r="J8" s="15">
        <f>10/21</f>
        <v>0.47619047619047616</v>
      </c>
      <c r="K8" s="10"/>
      <c r="L8" s="10"/>
      <c r="M8" s="10"/>
      <c r="N8" s="10"/>
      <c r="O8" s="10"/>
    </row>
    <row r="9" spans="1:15" s="9" customFormat="1" x14ac:dyDescent="0.2">
      <c r="A9" s="12">
        <v>5</v>
      </c>
      <c r="B9" s="20" t="s">
        <v>40</v>
      </c>
      <c r="C9" s="73">
        <v>6</v>
      </c>
      <c r="D9" s="20" t="s">
        <v>41</v>
      </c>
      <c r="E9" s="20" t="s">
        <v>42</v>
      </c>
      <c r="F9" s="20" t="s">
        <v>26</v>
      </c>
      <c r="G9" s="72">
        <v>1.091</v>
      </c>
      <c r="H9" s="14">
        <v>0.21921296296296297</v>
      </c>
      <c r="I9" s="19">
        <f t="shared" si="0"/>
        <v>0.23916134259259259</v>
      </c>
      <c r="J9" s="7">
        <f>11/21</f>
        <v>0.52380952380952384</v>
      </c>
      <c r="K9" s="10"/>
      <c r="L9" s="10"/>
      <c r="M9" s="10"/>
      <c r="N9" s="10"/>
      <c r="O9" s="10"/>
    </row>
    <row r="10" spans="1:15" s="9" customFormat="1" x14ac:dyDescent="0.2">
      <c r="A10" s="12">
        <v>6</v>
      </c>
      <c r="B10" s="20" t="s">
        <v>35</v>
      </c>
      <c r="C10" s="73">
        <v>39</v>
      </c>
      <c r="D10" s="20" t="s">
        <v>27</v>
      </c>
      <c r="E10" s="20" t="s">
        <v>28</v>
      </c>
      <c r="F10" s="20" t="s">
        <v>36</v>
      </c>
      <c r="G10" s="72">
        <v>1.048</v>
      </c>
      <c r="H10" s="14">
        <v>0.22939814814814816</v>
      </c>
      <c r="I10" s="19">
        <f t="shared" si="0"/>
        <v>0.24040925925925927</v>
      </c>
      <c r="J10" s="7">
        <f>12/21</f>
        <v>0.5714285714285714</v>
      </c>
      <c r="K10" s="10"/>
      <c r="L10" s="10"/>
      <c r="M10" s="10"/>
      <c r="N10" s="10"/>
      <c r="O10" s="10"/>
    </row>
    <row r="11" spans="1:15" s="9" customFormat="1" x14ac:dyDescent="0.2">
      <c r="A11" s="12">
        <v>7</v>
      </c>
      <c r="B11" s="11" t="s">
        <v>37</v>
      </c>
      <c r="C11" s="74">
        <v>1034</v>
      </c>
      <c r="D11" s="11" t="s">
        <v>38</v>
      </c>
      <c r="E11" s="11" t="s">
        <v>50</v>
      </c>
      <c r="F11" s="11" t="s">
        <v>39</v>
      </c>
      <c r="G11" s="72">
        <v>1.075</v>
      </c>
      <c r="H11" s="14">
        <v>0.22565972222222222</v>
      </c>
      <c r="I11" s="19">
        <f t="shared" si="0"/>
        <v>0.24258420138888886</v>
      </c>
      <c r="J11" s="7">
        <f>14/21</f>
        <v>0.66666666666666663</v>
      </c>
      <c r="K11" s="10"/>
      <c r="L11" s="10"/>
      <c r="M11" s="10"/>
      <c r="N11" s="10"/>
      <c r="O11" s="10"/>
    </row>
    <row r="12" spans="1:15" s="9" customFormat="1" x14ac:dyDescent="0.2">
      <c r="A12" s="12">
        <v>8</v>
      </c>
      <c r="B12" s="20" t="s">
        <v>43</v>
      </c>
      <c r="C12" s="20">
        <v>80</v>
      </c>
      <c r="D12" s="20" t="s">
        <v>45</v>
      </c>
      <c r="E12" s="20" t="s">
        <v>44</v>
      </c>
      <c r="F12" s="20" t="s">
        <v>26</v>
      </c>
      <c r="G12" s="72">
        <v>1.1220000000000001</v>
      </c>
      <c r="H12" s="14">
        <v>0.21995370370370371</v>
      </c>
      <c r="I12" s="19">
        <f t="shared" si="0"/>
        <v>0.24678805555555558</v>
      </c>
      <c r="J12" s="7">
        <f>17/21</f>
        <v>0.80952380952380953</v>
      </c>
      <c r="K12" s="10"/>
      <c r="L12" s="10"/>
      <c r="M12" s="10"/>
      <c r="N12" s="10"/>
      <c r="O12" s="10"/>
    </row>
    <row r="13" spans="1:15" s="9" customFormat="1" x14ac:dyDescent="0.2">
      <c r="A13" s="12">
        <v>9</v>
      </c>
      <c r="B13" s="20" t="s">
        <v>63</v>
      </c>
      <c r="C13" s="73">
        <v>197</v>
      </c>
      <c r="D13" s="20" t="s">
        <v>65</v>
      </c>
      <c r="E13" s="20" t="s">
        <v>64</v>
      </c>
      <c r="F13" s="20" t="s">
        <v>66</v>
      </c>
      <c r="G13" s="72">
        <v>1.03</v>
      </c>
      <c r="H13" s="14">
        <v>0.24062500000000001</v>
      </c>
      <c r="I13" s="19">
        <f t="shared" si="0"/>
        <v>0.24784375</v>
      </c>
      <c r="J13" s="7">
        <f>18/21</f>
        <v>0.8571428571428571</v>
      </c>
      <c r="K13" s="10"/>
      <c r="L13" s="10"/>
      <c r="M13" s="10"/>
      <c r="N13" s="10"/>
      <c r="O13" s="10"/>
    </row>
    <row r="14" spans="1:15" s="9" customFormat="1" x14ac:dyDescent="0.2">
      <c r="A14" s="12">
        <v>10</v>
      </c>
      <c r="B14" s="20" t="s">
        <v>71</v>
      </c>
      <c r="C14" s="73">
        <v>29</v>
      </c>
      <c r="D14" s="20" t="s">
        <v>72</v>
      </c>
      <c r="E14" s="20" t="s">
        <v>290</v>
      </c>
      <c r="F14" s="20" t="s">
        <v>73</v>
      </c>
      <c r="G14" s="72">
        <v>1.056</v>
      </c>
      <c r="H14" s="14">
        <v>0.23716435185185183</v>
      </c>
      <c r="I14" s="19">
        <f t="shared" si="0"/>
        <v>0.25044555555555553</v>
      </c>
      <c r="J14" s="7">
        <f>19/21</f>
        <v>0.90476190476190477</v>
      </c>
      <c r="K14" s="10"/>
      <c r="L14" s="10"/>
      <c r="M14" s="10"/>
      <c r="N14" s="10"/>
      <c r="O14" s="10"/>
    </row>
    <row r="15" spans="1:15" s="9" customFormat="1" x14ac:dyDescent="0.2">
      <c r="A15" s="12"/>
      <c r="B15" s="20" t="s">
        <v>67</v>
      </c>
      <c r="C15" s="73">
        <v>3</v>
      </c>
      <c r="D15" s="20" t="s">
        <v>68</v>
      </c>
      <c r="E15" s="20" t="s">
        <v>69</v>
      </c>
      <c r="F15" s="20" t="s">
        <v>26</v>
      </c>
      <c r="G15" s="72">
        <v>1.0109999999999999</v>
      </c>
      <c r="H15" s="14"/>
      <c r="I15" s="19" t="s">
        <v>70</v>
      </c>
      <c r="J15" s="7">
        <f>22/21</f>
        <v>1.0476190476190477</v>
      </c>
      <c r="K15" s="10"/>
      <c r="L15" s="10"/>
      <c r="M15" s="10"/>
      <c r="N15" s="10"/>
      <c r="O15" s="10"/>
    </row>
    <row r="16" spans="1:15" x14ac:dyDescent="0.2">
      <c r="A16" s="78"/>
      <c r="B16" s="78"/>
      <c r="C16" s="78"/>
      <c r="D16" s="78"/>
      <c r="E16" s="78"/>
      <c r="F16" s="78"/>
      <c r="G16" s="79"/>
      <c r="H16" s="79"/>
      <c r="I16" s="78"/>
      <c r="J16" s="93"/>
    </row>
    <row r="20" spans="5:5" x14ac:dyDescent="0.2">
      <c r="E20"/>
    </row>
  </sheetData>
  <sortState ref="B5:J20">
    <sortCondition ref="J5:J20"/>
  </sortState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/>
  </sheetViews>
  <sheetFormatPr baseColWidth="10" defaultColWidth="8.83203125" defaultRowHeight="15" x14ac:dyDescent="0.2"/>
  <cols>
    <col min="1" max="1" width="4.6640625" style="21" customWidth="1"/>
    <col min="2" max="2" width="25.6640625" style="21" customWidth="1"/>
    <col min="3" max="3" width="8.6640625" style="63" customWidth="1"/>
    <col min="4" max="6" width="25.6640625" style="21" customWidth="1"/>
    <col min="7" max="7" width="10.6640625" style="21" customWidth="1"/>
    <col min="8" max="8" width="6.5" style="53" bestFit="1" customWidth="1"/>
    <col min="9" max="13" width="3" style="32" hidden="1" customWidth="1"/>
    <col min="14" max="14" width="3" style="21" hidden="1" customWidth="1"/>
    <col min="15" max="15" width="5.5" style="21" hidden="1" customWidth="1"/>
    <col min="16" max="16" width="9.6640625" style="32" customWidth="1"/>
    <col min="17" max="16384" width="8.83203125" style="21"/>
  </cols>
  <sheetData>
    <row r="1" spans="1:16" x14ac:dyDescent="0.2">
      <c r="A1" s="25" t="s">
        <v>49</v>
      </c>
      <c r="I1" s="21"/>
      <c r="J1" s="21"/>
      <c r="K1" s="21"/>
      <c r="L1" s="21"/>
      <c r="M1" s="21"/>
    </row>
    <row r="2" spans="1:16" x14ac:dyDescent="0.2">
      <c r="A2" s="21" t="s">
        <v>15</v>
      </c>
      <c r="I2" s="21"/>
      <c r="J2" s="21"/>
      <c r="K2" s="21"/>
      <c r="L2" s="21"/>
      <c r="M2" s="21"/>
    </row>
    <row r="3" spans="1:16" ht="16" thickBot="1" x14ac:dyDescent="0.25">
      <c r="I3" s="21"/>
      <c r="J3" s="21"/>
      <c r="K3" s="21"/>
      <c r="L3" s="21"/>
      <c r="M3" s="21"/>
    </row>
    <row r="4" spans="1:16" ht="16" thickBot="1" x14ac:dyDescent="0.25">
      <c r="A4" s="22" t="s">
        <v>0</v>
      </c>
      <c r="B4" s="22" t="s">
        <v>1</v>
      </c>
      <c r="C4" s="64" t="s">
        <v>2</v>
      </c>
      <c r="D4" s="22" t="s">
        <v>3</v>
      </c>
      <c r="E4" s="22" t="s">
        <v>4</v>
      </c>
      <c r="F4" s="22" t="s">
        <v>5</v>
      </c>
      <c r="G4" s="4" t="s">
        <v>20</v>
      </c>
      <c r="H4" s="4" t="s">
        <v>34</v>
      </c>
      <c r="I4" s="21"/>
      <c r="J4" s="21"/>
      <c r="K4" s="21"/>
      <c r="L4" s="21"/>
      <c r="M4" s="21"/>
      <c r="P4" s="13" t="s">
        <v>12</v>
      </c>
    </row>
    <row r="5" spans="1:16" x14ac:dyDescent="0.2">
      <c r="A5" s="28">
        <v>1</v>
      </c>
      <c r="B5" s="20" t="s">
        <v>76</v>
      </c>
      <c r="C5" s="33">
        <v>12443</v>
      </c>
      <c r="D5" s="20" t="s">
        <v>99</v>
      </c>
      <c r="E5" s="20" t="s">
        <v>100</v>
      </c>
      <c r="F5" s="20" t="s">
        <v>101</v>
      </c>
      <c r="G5" s="47">
        <v>1.212</v>
      </c>
      <c r="H5" s="83">
        <f>10/34</f>
        <v>0.29411764705882354</v>
      </c>
      <c r="I5" s="32">
        <v>28</v>
      </c>
      <c r="J5" s="32">
        <v>20</v>
      </c>
      <c r="K5" s="32">
        <v>13</v>
      </c>
      <c r="L5" s="32">
        <v>26</v>
      </c>
      <c r="M5" s="32">
        <v>28</v>
      </c>
      <c r="N5" s="21">
        <v>28</v>
      </c>
      <c r="O5" s="67" t="e">
        <f>#REF!+#REF!+#REF!+#REF!+#REF!+#REF!</f>
        <v>#REF!</v>
      </c>
      <c r="P5" s="88">
        <f>A5/70</f>
        <v>1.4285714285714285E-2</v>
      </c>
    </row>
    <row r="6" spans="1:16" x14ac:dyDescent="0.2">
      <c r="A6" s="28">
        <v>2</v>
      </c>
      <c r="B6" s="65" t="s">
        <v>185</v>
      </c>
      <c r="C6" s="66">
        <v>187</v>
      </c>
      <c r="D6" s="65" t="s">
        <v>186</v>
      </c>
      <c r="E6" s="65" t="s">
        <v>158</v>
      </c>
      <c r="F6" s="65"/>
      <c r="G6" s="31">
        <v>1.1599999999999999</v>
      </c>
      <c r="H6" s="83">
        <f>16/36</f>
        <v>0.44444444444444442</v>
      </c>
      <c r="I6" s="32">
        <v>23</v>
      </c>
      <c r="J6" s="32">
        <v>21</v>
      </c>
      <c r="K6" s="32">
        <v>24</v>
      </c>
      <c r="L6" s="32">
        <v>25</v>
      </c>
      <c r="M6" s="32">
        <v>21</v>
      </c>
      <c r="N6" s="21">
        <v>23</v>
      </c>
      <c r="O6" s="67" t="e">
        <f>#REF!+#REF!+#REF!+#REF!+#REF!+#REF!</f>
        <v>#REF!</v>
      </c>
      <c r="P6" s="88">
        <f>A6/70</f>
        <v>2.8571428571428571E-2</v>
      </c>
    </row>
    <row r="7" spans="1:16" x14ac:dyDescent="0.2">
      <c r="A7" s="28">
        <v>3</v>
      </c>
      <c r="B7" s="42" t="s">
        <v>76</v>
      </c>
      <c r="C7" s="43">
        <v>12143</v>
      </c>
      <c r="D7" s="44" t="s">
        <v>77</v>
      </c>
      <c r="E7" s="37" t="s">
        <v>78</v>
      </c>
      <c r="F7" s="45"/>
      <c r="G7" s="47">
        <v>1.21</v>
      </c>
      <c r="H7" s="83">
        <f>18/34</f>
        <v>0.52941176470588236</v>
      </c>
      <c r="I7" s="32">
        <v>20</v>
      </c>
      <c r="J7" s="32">
        <v>17</v>
      </c>
      <c r="K7" s="32">
        <v>21</v>
      </c>
      <c r="L7" s="32">
        <v>12.5</v>
      </c>
      <c r="M7" s="32">
        <v>24.5</v>
      </c>
      <c r="N7" s="21">
        <v>16</v>
      </c>
      <c r="O7" s="67" t="e">
        <f>#REF!+#REF!+#REF!+#REF!+#REF!+#REF!</f>
        <v>#REF!</v>
      </c>
      <c r="P7" s="88">
        <f t="shared" ref="P7:P70" si="0">A7/70</f>
        <v>4.2857142857142858E-2</v>
      </c>
    </row>
    <row r="8" spans="1:16" x14ac:dyDescent="0.2">
      <c r="A8" s="28">
        <v>4</v>
      </c>
      <c r="B8" s="42" t="s">
        <v>105</v>
      </c>
      <c r="C8" s="43">
        <v>191</v>
      </c>
      <c r="D8" s="44" t="s">
        <v>106</v>
      </c>
      <c r="E8" s="37" t="s">
        <v>107</v>
      </c>
      <c r="F8" s="45"/>
      <c r="G8" s="47">
        <v>1.0900000000000001</v>
      </c>
      <c r="H8" s="83">
        <f>22/36</f>
        <v>0.61111111111111116</v>
      </c>
      <c r="I8" s="32">
        <v>39</v>
      </c>
      <c r="J8" s="32">
        <v>39</v>
      </c>
      <c r="K8" s="32">
        <v>39</v>
      </c>
      <c r="L8" s="32">
        <v>39</v>
      </c>
      <c r="M8" s="32">
        <v>39</v>
      </c>
      <c r="N8" s="21">
        <v>39</v>
      </c>
      <c r="O8" s="67" t="e">
        <f>#REF!+#REF!+#REF!+#REF!+#REF!+#REF!</f>
        <v>#REF!</v>
      </c>
      <c r="P8" s="88">
        <f t="shared" si="0"/>
        <v>5.7142857142857141E-2</v>
      </c>
    </row>
    <row r="9" spans="1:16" x14ac:dyDescent="0.2">
      <c r="A9" s="28">
        <v>5</v>
      </c>
      <c r="B9" s="20" t="s">
        <v>225</v>
      </c>
      <c r="C9" s="33">
        <v>16000</v>
      </c>
      <c r="D9" s="20" t="s">
        <v>226</v>
      </c>
      <c r="E9" s="20" t="s">
        <v>227</v>
      </c>
      <c r="F9" s="20"/>
      <c r="G9" s="47">
        <v>1.276</v>
      </c>
      <c r="H9" s="83">
        <f>22/34</f>
        <v>0.6470588235294118</v>
      </c>
      <c r="I9" s="32">
        <v>15</v>
      </c>
      <c r="J9" s="32">
        <v>5</v>
      </c>
      <c r="K9" s="32">
        <v>3</v>
      </c>
      <c r="L9" s="32">
        <v>20</v>
      </c>
      <c r="M9" s="32">
        <v>15</v>
      </c>
      <c r="N9" s="21">
        <v>18</v>
      </c>
      <c r="O9" s="67" t="e">
        <f>#REF!+#REF!+#REF!+#REF!+#REF!+#REF!</f>
        <v>#REF!</v>
      </c>
      <c r="P9" s="88">
        <f t="shared" si="0"/>
        <v>7.1428571428571425E-2</v>
      </c>
    </row>
    <row r="10" spans="1:16" x14ac:dyDescent="0.2">
      <c r="A10" s="28">
        <v>6</v>
      </c>
      <c r="B10" s="20" t="s">
        <v>75</v>
      </c>
      <c r="C10" s="20">
        <v>4640</v>
      </c>
      <c r="D10" s="20" t="s">
        <v>187</v>
      </c>
      <c r="E10" s="20" t="s">
        <v>188</v>
      </c>
      <c r="F10" s="20"/>
      <c r="G10" s="31">
        <v>1.1120000000000001</v>
      </c>
      <c r="H10" s="83">
        <f>25/36</f>
        <v>0.69444444444444442</v>
      </c>
      <c r="I10" s="32">
        <v>39</v>
      </c>
      <c r="J10" s="32">
        <v>39</v>
      </c>
      <c r="K10" s="32">
        <v>39</v>
      </c>
      <c r="L10" s="32">
        <v>39</v>
      </c>
      <c r="M10" s="32">
        <v>39</v>
      </c>
      <c r="N10" s="21">
        <v>39</v>
      </c>
      <c r="O10" s="67" t="e">
        <f>#REF!+#REF!+#REF!+#REF!+#REF!+#REF!</f>
        <v>#REF!</v>
      </c>
      <c r="P10" s="88">
        <f t="shared" si="0"/>
        <v>8.5714285714285715E-2</v>
      </c>
    </row>
    <row r="11" spans="1:16" x14ac:dyDescent="0.2">
      <c r="A11" s="28">
        <v>7</v>
      </c>
      <c r="B11" s="20" t="s">
        <v>189</v>
      </c>
      <c r="C11" s="33">
        <v>7444</v>
      </c>
      <c r="D11" s="20" t="s">
        <v>190</v>
      </c>
      <c r="E11" s="20" t="s">
        <v>191</v>
      </c>
      <c r="F11" s="20"/>
      <c r="G11" s="47">
        <v>1.0609999999999999</v>
      </c>
      <c r="H11" s="83">
        <f>27/36</f>
        <v>0.75</v>
      </c>
      <c r="I11" s="32">
        <v>7</v>
      </c>
      <c r="J11" s="32">
        <v>24</v>
      </c>
      <c r="K11" s="32">
        <v>16</v>
      </c>
      <c r="L11" s="32">
        <v>15</v>
      </c>
      <c r="M11" s="32">
        <v>12</v>
      </c>
      <c r="N11" s="21">
        <v>19</v>
      </c>
      <c r="O11" s="67" t="e">
        <f>#REF!+#REF!+#REF!+#REF!+#REF!+#REF!</f>
        <v>#REF!</v>
      </c>
      <c r="P11" s="88">
        <f t="shared" si="0"/>
        <v>0.1</v>
      </c>
    </row>
    <row r="12" spans="1:16" x14ac:dyDescent="0.2">
      <c r="A12" s="28">
        <v>8</v>
      </c>
      <c r="B12" s="42" t="s">
        <v>125</v>
      </c>
      <c r="C12" s="43">
        <v>9503</v>
      </c>
      <c r="D12" s="44" t="s">
        <v>228</v>
      </c>
      <c r="E12" s="37" t="s">
        <v>229</v>
      </c>
      <c r="F12" s="45"/>
      <c r="G12" s="47">
        <v>1.1919999999999999</v>
      </c>
      <c r="H12" s="83">
        <f>26/34</f>
        <v>0.76470588235294112</v>
      </c>
      <c r="I12" s="32">
        <v>28</v>
      </c>
      <c r="J12" s="32">
        <v>13</v>
      </c>
      <c r="K12" s="32">
        <v>21</v>
      </c>
      <c r="L12" s="32">
        <v>12</v>
      </c>
      <c r="M12" s="32">
        <v>3</v>
      </c>
      <c r="N12" s="21">
        <v>13</v>
      </c>
      <c r="O12" s="67" t="e">
        <f>#REF!+#REF!+#REF!+#REF!+#REF!+#REF!</f>
        <v>#REF!</v>
      </c>
      <c r="P12" s="88">
        <f t="shared" si="0"/>
        <v>0.11428571428571428</v>
      </c>
    </row>
    <row r="13" spans="1:16" x14ac:dyDescent="0.2">
      <c r="A13" s="28">
        <v>9</v>
      </c>
      <c r="B13" s="38" t="s">
        <v>75</v>
      </c>
      <c r="C13" s="46">
        <v>2</v>
      </c>
      <c r="D13" s="39" t="s">
        <v>88</v>
      </c>
      <c r="E13" s="40" t="s">
        <v>89</v>
      </c>
      <c r="F13" s="41"/>
      <c r="G13" s="47">
        <v>1.0980000000000001</v>
      </c>
      <c r="H13" s="83">
        <f>28/36</f>
        <v>0.77777777777777779</v>
      </c>
      <c r="I13" s="32">
        <v>39</v>
      </c>
      <c r="J13" s="32">
        <v>39</v>
      </c>
      <c r="K13" s="32">
        <v>39</v>
      </c>
      <c r="L13" s="32">
        <v>39</v>
      </c>
      <c r="M13" s="32">
        <v>39</v>
      </c>
      <c r="N13" s="21">
        <v>39</v>
      </c>
      <c r="O13" s="67" t="e">
        <f>#REF!+#REF!+#REF!+#REF!+#REF!+#REF!</f>
        <v>#REF!</v>
      </c>
      <c r="P13" s="88">
        <f t="shared" si="0"/>
        <v>0.12857142857142856</v>
      </c>
    </row>
    <row r="14" spans="1:16" x14ac:dyDescent="0.2">
      <c r="A14" s="28">
        <v>10</v>
      </c>
      <c r="B14" s="29" t="s">
        <v>105</v>
      </c>
      <c r="C14" s="30" t="s">
        <v>192</v>
      </c>
      <c r="D14" s="29" t="s">
        <v>193</v>
      </c>
      <c r="E14" s="29" t="s">
        <v>194</v>
      </c>
      <c r="F14" s="29"/>
      <c r="G14" s="68">
        <v>1.0900000000000001</v>
      </c>
      <c r="H14" s="83">
        <f>30/36</f>
        <v>0.83333333333333337</v>
      </c>
      <c r="I14" s="32">
        <v>19</v>
      </c>
      <c r="J14" s="32">
        <v>26</v>
      </c>
      <c r="K14" s="32">
        <v>17</v>
      </c>
      <c r="L14" s="32">
        <v>17</v>
      </c>
      <c r="M14" s="32">
        <v>28</v>
      </c>
      <c r="N14" s="21">
        <v>10</v>
      </c>
      <c r="O14" s="67" t="e">
        <f>#REF!+#REF!+#REF!+#REF!+#REF!+#REF!</f>
        <v>#REF!</v>
      </c>
      <c r="P14" s="88">
        <f t="shared" si="0"/>
        <v>0.14285714285714285</v>
      </c>
    </row>
    <row r="15" spans="1:16" x14ac:dyDescent="0.2">
      <c r="A15" s="28">
        <v>11</v>
      </c>
      <c r="B15" s="42" t="s">
        <v>84</v>
      </c>
      <c r="C15" s="43">
        <v>27</v>
      </c>
      <c r="D15" s="44" t="s">
        <v>85</v>
      </c>
      <c r="E15" s="37" t="s">
        <v>86</v>
      </c>
      <c r="F15" s="45"/>
      <c r="G15" s="47">
        <v>1.103</v>
      </c>
      <c r="H15" s="83">
        <f>35.5/34</f>
        <v>1.0441176470588236</v>
      </c>
      <c r="I15" s="32">
        <v>19</v>
      </c>
      <c r="J15" s="32">
        <v>26</v>
      </c>
      <c r="K15" s="32">
        <v>17</v>
      </c>
      <c r="L15" s="32">
        <v>17</v>
      </c>
      <c r="M15" s="32">
        <v>28</v>
      </c>
      <c r="N15" s="21">
        <v>10</v>
      </c>
      <c r="O15" s="67" t="e">
        <f>#REF!+#REF!+#REF!+#REF!+#REF!+#REF!</f>
        <v>#REF!</v>
      </c>
      <c r="P15" s="88">
        <f t="shared" si="0"/>
        <v>0.15714285714285714</v>
      </c>
    </row>
    <row r="16" spans="1:16" x14ac:dyDescent="0.2">
      <c r="A16" s="28">
        <v>12</v>
      </c>
      <c r="B16" s="20" t="s">
        <v>118</v>
      </c>
      <c r="C16" s="20">
        <v>49</v>
      </c>
      <c r="D16" s="20" t="s">
        <v>119</v>
      </c>
      <c r="E16" s="20" t="s">
        <v>120</v>
      </c>
      <c r="F16" s="20" t="s">
        <v>26</v>
      </c>
      <c r="G16" s="31">
        <v>1.1639999999999999</v>
      </c>
      <c r="H16" s="83">
        <f>37/34</f>
        <v>1.088235294117647</v>
      </c>
      <c r="I16" s="32">
        <v>30</v>
      </c>
      <c r="J16" s="32">
        <v>24</v>
      </c>
      <c r="K16" s="32">
        <v>24</v>
      </c>
      <c r="L16" s="32">
        <v>32</v>
      </c>
      <c r="M16" s="32">
        <v>33</v>
      </c>
      <c r="N16" s="21">
        <v>39</v>
      </c>
      <c r="O16" s="67" t="e">
        <f>#REF!+#REF!+#REF!+#REF!+#REF!+#REF!</f>
        <v>#REF!</v>
      </c>
      <c r="P16" s="88">
        <f t="shared" si="0"/>
        <v>0.17142857142857143</v>
      </c>
    </row>
    <row r="17" spans="1:16" x14ac:dyDescent="0.2">
      <c r="A17" s="28">
        <v>13</v>
      </c>
      <c r="B17" s="20" t="s">
        <v>159</v>
      </c>
      <c r="C17" s="33">
        <v>3810</v>
      </c>
      <c r="D17" s="20" t="s">
        <v>230</v>
      </c>
      <c r="E17" s="20" t="s">
        <v>231</v>
      </c>
      <c r="F17" s="20"/>
      <c r="G17" s="47">
        <v>1.121</v>
      </c>
      <c r="H17" s="83">
        <f>37.5/34</f>
        <v>1.1029411764705883</v>
      </c>
      <c r="I17" s="32">
        <v>11</v>
      </c>
      <c r="J17" s="32">
        <v>17</v>
      </c>
      <c r="K17" s="32">
        <v>7</v>
      </c>
      <c r="L17" s="32">
        <v>10</v>
      </c>
      <c r="M17" s="32">
        <v>8</v>
      </c>
      <c r="N17" s="21">
        <v>8</v>
      </c>
      <c r="O17" s="67" t="e">
        <f>#REF!+#REF!+#REF!+#REF!+#REF!+#REF!</f>
        <v>#REF!</v>
      </c>
      <c r="P17" s="88">
        <f t="shared" si="0"/>
        <v>0.18571428571428572</v>
      </c>
    </row>
    <row r="18" spans="1:16" x14ac:dyDescent="0.2">
      <c r="A18" s="28">
        <v>14</v>
      </c>
      <c r="B18" s="42" t="s">
        <v>75</v>
      </c>
      <c r="C18" s="43">
        <v>622</v>
      </c>
      <c r="D18" s="44" t="s">
        <v>79</v>
      </c>
      <c r="E18" s="37" t="s">
        <v>80</v>
      </c>
      <c r="F18" s="45" t="s">
        <v>81</v>
      </c>
      <c r="G18" s="47">
        <v>1.117</v>
      </c>
      <c r="H18" s="83">
        <f>42/36</f>
        <v>1.1666666666666667</v>
      </c>
      <c r="I18" s="32">
        <v>39</v>
      </c>
      <c r="J18" s="32">
        <v>39</v>
      </c>
      <c r="K18" s="32">
        <v>39</v>
      </c>
      <c r="L18" s="32">
        <v>39</v>
      </c>
      <c r="M18" s="32">
        <v>39</v>
      </c>
      <c r="N18" s="21">
        <v>39</v>
      </c>
      <c r="O18" s="67" t="e">
        <f>#REF!+#REF!+#REF!+#REF!+#REF!+#REF!</f>
        <v>#REF!</v>
      </c>
      <c r="P18" s="88">
        <f t="shared" si="0"/>
        <v>0.2</v>
      </c>
    </row>
    <row r="19" spans="1:16" x14ac:dyDescent="0.2">
      <c r="A19" s="28">
        <v>15</v>
      </c>
      <c r="B19" s="38" t="s">
        <v>75</v>
      </c>
      <c r="C19" s="46">
        <v>10070</v>
      </c>
      <c r="D19" s="39" t="s">
        <v>93</v>
      </c>
      <c r="E19" s="40" t="s">
        <v>299</v>
      </c>
      <c r="F19" s="41" t="s">
        <v>25</v>
      </c>
      <c r="G19" s="68">
        <v>1.115</v>
      </c>
      <c r="H19" s="83">
        <f>43.5/36</f>
        <v>1.2083333333333333</v>
      </c>
      <c r="I19" s="32">
        <v>34</v>
      </c>
      <c r="J19" s="32">
        <v>25</v>
      </c>
      <c r="K19" s="32">
        <v>22</v>
      </c>
      <c r="L19" s="32">
        <v>34</v>
      </c>
      <c r="M19" s="32">
        <v>34</v>
      </c>
      <c r="N19" s="21">
        <v>32</v>
      </c>
      <c r="O19" s="67" t="e">
        <f>#REF!+#REF!+#REF!+#REF!+#REF!+#REF!</f>
        <v>#REF!</v>
      </c>
      <c r="P19" s="88">
        <f t="shared" si="0"/>
        <v>0.21428571428571427</v>
      </c>
    </row>
    <row r="20" spans="1:16" x14ac:dyDescent="0.2">
      <c r="A20" s="28">
        <v>16</v>
      </c>
      <c r="B20" s="38" t="s">
        <v>232</v>
      </c>
      <c r="C20" s="46">
        <v>4227</v>
      </c>
      <c r="D20" s="39" t="s">
        <v>82</v>
      </c>
      <c r="E20" s="40" t="s">
        <v>83</v>
      </c>
      <c r="F20" s="41"/>
      <c r="G20" s="47">
        <v>1.212</v>
      </c>
      <c r="H20" s="83">
        <f>46.5/34</f>
        <v>1.3676470588235294</v>
      </c>
      <c r="I20" s="32">
        <v>10</v>
      </c>
      <c r="J20" s="32">
        <v>16</v>
      </c>
      <c r="K20" s="32">
        <v>6</v>
      </c>
      <c r="L20" s="32">
        <v>21</v>
      </c>
      <c r="M20" s="32">
        <v>19</v>
      </c>
      <c r="N20" s="21">
        <v>22</v>
      </c>
      <c r="O20" s="67" t="e">
        <f>#REF!+#REF!+#REF!+#REF!+#REF!+#REF!</f>
        <v>#REF!</v>
      </c>
      <c r="P20" s="88">
        <f t="shared" si="0"/>
        <v>0.22857142857142856</v>
      </c>
    </row>
    <row r="21" spans="1:16" x14ac:dyDescent="0.2">
      <c r="A21" s="28">
        <v>17</v>
      </c>
      <c r="B21" s="38" t="s">
        <v>195</v>
      </c>
      <c r="C21" s="46">
        <v>88</v>
      </c>
      <c r="D21" s="39" t="s">
        <v>196</v>
      </c>
      <c r="E21" s="40" t="s">
        <v>197</v>
      </c>
      <c r="F21" s="41"/>
      <c r="G21" s="47">
        <v>1.0609999999999999</v>
      </c>
      <c r="H21" s="83">
        <f>55/36</f>
        <v>1.5277777777777777</v>
      </c>
      <c r="I21" s="32">
        <v>39</v>
      </c>
      <c r="J21" s="32">
        <v>39</v>
      </c>
      <c r="K21" s="32">
        <v>39</v>
      </c>
      <c r="L21" s="32">
        <v>39</v>
      </c>
      <c r="M21" s="32">
        <v>39</v>
      </c>
      <c r="N21" s="21">
        <v>39</v>
      </c>
      <c r="O21" s="67" t="e">
        <f>#REF!+#REF!+#REF!+#REF!+#REF!+#REF!</f>
        <v>#REF!</v>
      </c>
      <c r="P21" s="88">
        <f t="shared" si="0"/>
        <v>0.24285714285714285</v>
      </c>
    </row>
    <row r="22" spans="1:16" x14ac:dyDescent="0.2">
      <c r="A22" s="28">
        <v>18</v>
      </c>
      <c r="B22" s="20" t="s">
        <v>108</v>
      </c>
      <c r="C22" s="33">
        <v>69</v>
      </c>
      <c r="D22" s="20" t="s">
        <v>109</v>
      </c>
      <c r="E22" s="20" t="s">
        <v>110</v>
      </c>
      <c r="F22" s="20" t="s">
        <v>111</v>
      </c>
      <c r="G22" s="47">
        <v>1.121</v>
      </c>
      <c r="H22" s="83">
        <f>53/34</f>
        <v>1.5588235294117647</v>
      </c>
      <c r="I22" s="32">
        <v>39</v>
      </c>
      <c r="J22" s="32">
        <v>39</v>
      </c>
      <c r="K22" s="32">
        <v>39</v>
      </c>
      <c r="L22" s="32">
        <v>39</v>
      </c>
      <c r="M22" s="32">
        <v>39</v>
      </c>
      <c r="N22" s="21">
        <v>39</v>
      </c>
      <c r="O22" s="67" t="e">
        <f>#REF!+#REF!+#REF!+#REF!+#REF!+#REF!</f>
        <v>#REF!</v>
      </c>
      <c r="P22" s="88">
        <f t="shared" si="0"/>
        <v>0.25714285714285712</v>
      </c>
    </row>
    <row r="23" spans="1:16" x14ac:dyDescent="0.2">
      <c r="A23" s="28">
        <v>19</v>
      </c>
      <c r="B23" s="20" t="s">
        <v>92</v>
      </c>
      <c r="C23" s="33">
        <v>88</v>
      </c>
      <c r="D23" s="20" t="s">
        <v>166</v>
      </c>
      <c r="E23" s="20" t="s">
        <v>167</v>
      </c>
      <c r="F23" s="20"/>
      <c r="G23" s="47">
        <v>1.08</v>
      </c>
      <c r="H23" s="83">
        <f>56.5/36</f>
        <v>1.5694444444444444</v>
      </c>
      <c r="I23" s="32">
        <v>18</v>
      </c>
      <c r="J23" s="32">
        <v>30</v>
      </c>
      <c r="K23" s="32">
        <v>29</v>
      </c>
      <c r="L23" s="32">
        <v>36</v>
      </c>
      <c r="M23" s="32">
        <v>22</v>
      </c>
      <c r="N23" s="21">
        <v>15</v>
      </c>
      <c r="O23" s="67" t="e">
        <f>#REF!+#REF!+#REF!+#REF!+#REF!+#REF!</f>
        <v>#REF!</v>
      </c>
      <c r="P23" s="88">
        <f t="shared" si="0"/>
        <v>0.27142857142857141</v>
      </c>
    </row>
    <row r="24" spans="1:16" x14ac:dyDescent="0.2">
      <c r="A24" s="28">
        <v>20</v>
      </c>
      <c r="B24" s="20" t="s">
        <v>233</v>
      </c>
      <c r="C24" s="33">
        <v>9</v>
      </c>
      <c r="D24" s="20" t="s">
        <v>234</v>
      </c>
      <c r="E24" s="20" t="s">
        <v>235</v>
      </c>
      <c r="F24" s="20"/>
      <c r="G24" s="31">
        <v>1.2669999999999999</v>
      </c>
      <c r="H24" s="83">
        <f>56.5/34</f>
        <v>1.661764705882353</v>
      </c>
      <c r="I24" s="32">
        <v>39</v>
      </c>
      <c r="J24" s="32">
        <v>39</v>
      </c>
      <c r="K24" s="32">
        <v>39</v>
      </c>
      <c r="L24" s="32">
        <v>39</v>
      </c>
      <c r="M24" s="32">
        <v>39</v>
      </c>
      <c r="N24" s="21">
        <v>39</v>
      </c>
      <c r="O24" s="67" t="e">
        <f>#REF!+#REF!+#REF!+#REF!+#REF!+#REF!</f>
        <v>#REF!</v>
      </c>
      <c r="P24" s="88">
        <f t="shared" si="0"/>
        <v>0.2857142857142857</v>
      </c>
    </row>
    <row r="25" spans="1:16" x14ac:dyDescent="0.2">
      <c r="A25" s="28">
        <v>21</v>
      </c>
      <c r="B25" s="29" t="s">
        <v>108</v>
      </c>
      <c r="C25" s="30">
        <v>85</v>
      </c>
      <c r="D25" s="29" t="s">
        <v>156</v>
      </c>
      <c r="E25" s="37" t="s">
        <v>157</v>
      </c>
      <c r="F25" s="29" t="s">
        <v>155</v>
      </c>
      <c r="G25" s="31">
        <v>1.1279999999999999</v>
      </c>
      <c r="H25" s="83">
        <f>61/34</f>
        <v>1.7941176470588236</v>
      </c>
      <c r="I25" s="32">
        <v>39</v>
      </c>
      <c r="J25" s="32">
        <v>39</v>
      </c>
      <c r="K25" s="32">
        <v>39</v>
      </c>
      <c r="L25" s="32">
        <v>39</v>
      </c>
      <c r="M25" s="32">
        <v>39</v>
      </c>
      <c r="N25" s="21">
        <v>39</v>
      </c>
      <c r="O25" s="67" t="e">
        <f>#REF!+#REF!+#REF!+#REF!+#REF!+#REF!</f>
        <v>#REF!</v>
      </c>
      <c r="P25" s="88">
        <f t="shared" si="0"/>
        <v>0.3</v>
      </c>
    </row>
    <row r="26" spans="1:16" x14ac:dyDescent="0.2">
      <c r="A26" s="28">
        <v>22</v>
      </c>
      <c r="B26" s="20" t="s">
        <v>112</v>
      </c>
      <c r="C26" s="33">
        <v>64</v>
      </c>
      <c r="D26" s="20" t="s">
        <v>152</v>
      </c>
      <c r="E26" s="20" t="s">
        <v>153</v>
      </c>
      <c r="F26" s="20" t="s">
        <v>58</v>
      </c>
      <c r="G26" s="47">
        <v>1.0549999999999999</v>
      </c>
      <c r="H26" s="83">
        <f>65/36</f>
        <v>1.8055555555555556</v>
      </c>
      <c r="I26" s="32">
        <v>39</v>
      </c>
      <c r="J26" s="32">
        <v>39</v>
      </c>
      <c r="K26" s="32">
        <v>39</v>
      </c>
      <c r="L26" s="32">
        <v>39</v>
      </c>
      <c r="M26" s="32">
        <v>39</v>
      </c>
      <c r="N26" s="21">
        <v>39</v>
      </c>
      <c r="O26" s="67" t="e">
        <f>#REF!+#REF!+#REF!+#REF!+#REF!+#REF!</f>
        <v>#REF!</v>
      </c>
      <c r="P26" s="88">
        <f t="shared" si="0"/>
        <v>0.31428571428571428</v>
      </c>
    </row>
    <row r="27" spans="1:16" x14ac:dyDescent="0.2">
      <c r="A27" s="28">
        <v>23</v>
      </c>
      <c r="B27" s="20" t="s">
        <v>140</v>
      </c>
      <c r="C27" s="33">
        <v>5</v>
      </c>
      <c r="D27" s="20" t="s">
        <v>141</v>
      </c>
      <c r="E27" s="20" t="s">
        <v>236</v>
      </c>
      <c r="F27" s="20"/>
      <c r="G27" s="47">
        <v>1.1890000000000001</v>
      </c>
      <c r="H27" s="83">
        <f>62/34</f>
        <v>1.8235294117647058</v>
      </c>
      <c r="I27" s="32">
        <v>39</v>
      </c>
      <c r="J27" s="32">
        <v>39</v>
      </c>
      <c r="K27" s="32">
        <v>39</v>
      </c>
      <c r="L27" s="32">
        <v>39</v>
      </c>
      <c r="M27" s="32">
        <v>39</v>
      </c>
      <c r="N27" s="21">
        <v>39</v>
      </c>
      <c r="O27" s="67" t="e">
        <f>#REF!+#REF!+#REF!+#REF!+#REF!+#REF!</f>
        <v>#REF!</v>
      </c>
      <c r="P27" s="88">
        <f t="shared" si="0"/>
        <v>0.32857142857142857</v>
      </c>
    </row>
    <row r="28" spans="1:16" x14ac:dyDescent="0.2">
      <c r="A28" s="28">
        <v>24</v>
      </c>
      <c r="B28" s="20" t="s">
        <v>145</v>
      </c>
      <c r="C28" s="33">
        <v>57</v>
      </c>
      <c r="D28" s="20" t="s">
        <v>171</v>
      </c>
      <c r="E28" s="20" t="s">
        <v>172</v>
      </c>
      <c r="F28" s="20" t="s">
        <v>173</v>
      </c>
      <c r="G28" s="47">
        <v>1.05</v>
      </c>
      <c r="H28" s="83">
        <f>70.5/36</f>
        <v>1.9583333333333333</v>
      </c>
      <c r="I28" s="32">
        <v>39</v>
      </c>
      <c r="J28" s="32">
        <v>39</v>
      </c>
      <c r="K28" s="32">
        <v>39</v>
      </c>
      <c r="L28" s="32">
        <v>39</v>
      </c>
      <c r="M28" s="32">
        <v>39</v>
      </c>
      <c r="N28" s="21">
        <v>39</v>
      </c>
      <c r="O28" s="67" t="e">
        <f>#REF!+#REF!+#REF!+#REF!+#REF!+#REF!</f>
        <v>#REF!</v>
      </c>
      <c r="P28" s="88">
        <f t="shared" si="0"/>
        <v>0.34285714285714286</v>
      </c>
    </row>
    <row r="29" spans="1:16" x14ac:dyDescent="0.2">
      <c r="A29" s="28">
        <v>25</v>
      </c>
      <c r="B29" s="29" t="s">
        <v>134</v>
      </c>
      <c r="C29" s="30">
        <v>11</v>
      </c>
      <c r="D29" s="29" t="s">
        <v>135</v>
      </c>
      <c r="E29" s="29" t="s">
        <v>136</v>
      </c>
      <c r="F29" s="29" t="s">
        <v>137</v>
      </c>
      <c r="G29" s="47">
        <v>1.042</v>
      </c>
      <c r="H29" s="83">
        <f>72/36</f>
        <v>2</v>
      </c>
      <c r="I29" s="32">
        <v>39</v>
      </c>
      <c r="J29" s="32">
        <v>39</v>
      </c>
      <c r="K29" s="32">
        <v>39</v>
      </c>
      <c r="L29" s="32">
        <v>39</v>
      </c>
      <c r="M29" s="32">
        <v>39</v>
      </c>
      <c r="N29" s="21">
        <v>39</v>
      </c>
      <c r="O29" s="67" t="e">
        <f>#REF!+#REF!+#REF!+#REF!+#REF!+#REF!</f>
        <v>#REF!</v>
      </c>
      <c r="P29" s="88">
        <f t="shared" si="0"/>
        <v>0.35714285714285715</v>
      </c>
    </row>
    <row r="30" spans="1:16" x14ac:dyDescent="0.2">
      <c r="A30" s="28">
        <v>26</v>
      </c>
      <c r="B30" s="42" t="s">
        <v>75</v>
      </c>
      <c r="C30" s="43">
        <v>11</v>
      </c>
      <c r="D30" s="44" t="s">
        <v>138</v>
      </c>
      <c r="E30" s="37" t="s">
        <v>139</v>
      </c>
      <c r="F30" s="45"/>
      <c r="G30" s="31">
        <v>1.1100000000000001</v>
      </c>
      <c r="H30" s="83">
        <f>73/36</f>
        <v>2.0277777777777777</v>
      </c>
      <c r="I30" s="32">
        <v>39</v>
      </c>
      <c r="J30" s="32">
        <v>39</v>
      </c>
      <c r="K30" s="32">
        <v>39</v>
      </c>
      <c r="L30" s="32">
        <v>39</v>
      </c>
      <c r="M30" s="32">
        <v>39</v>
      </c>
      <c r="N30" s="21">
        <v>39</v>
      </c>
      <c r="O30" s="67" t="e">
        <f>#REF!+#REF!+#REF!+#REF!+#REF!+#REF!</f>
        <v>#REF!</v>
      </c>
      <c r="P30" s="88">
        <f t="shared" si="0"/>
        <v>0.37142857142857144</v>
      </c>
    </row>
    <row r="31" spans="1:16" x14ac:dyDescent="0.2">
      <c r="A31" s="28">
        <v>27</v>
      </c>
      <c r="B31" s="38" t="s">
        <v>54</v>
      </c>
      <c r="C31" s="46">
        <v>7988</v>
      </c>
      <c r="D31" s="39" t="s">
        <v>56</v>
      </c>
      <c r="E31" s="40" t="s">
        <v>57</v>
      </c>
      <c r="F31" s="41"/>
      <c r="G31" s="47">
        <v>1.038</v>
      </c>
      <c r="H31" s="83">
        <f>77/36</f>
        <v>2.1388888888888888</v>
      </c>
      <c r="I31" s="32">
        <v>39</v>
      </c>
      <c r="J31" s="32">
        <v>39</v>
      </c>
      <c r="K31" s="32">
        <v>39</v>
      </c>
      <c r="L31" s="32">
        <v>39</v>
      </c>
      <c r="M31" s="32">
        <v>39</v>
      </c>
      <c r="N31" s="21">
        <v>39</v>
      </c>
      <c r="O31" s="67" t="e">
        <f>#REF!+#REF!+#REF!+#REF!+#REF!+#REF!</f>
        <v>#REF!</v>
      </c>
      <c r="P31" s="88">
        <f t="shared" si="0"/>
        <v>0.38571428571428573</v>
      </c>
    </row>
    <row r="32" spans="1:16" x14ac:dyDescent="0.2">
      <c r="A32" s="28">
        <v>28</v>
      </c>
      <c r="B32" s="42" t="s">
        <v>102</v>
      </c>
      <c r="C32" s="43">
        <v>106</v>
      </c>
      <c r="D32" s="44" t="s">
        <v>103</v>
      </c>
      <c r="E32" s="37" t="s">
        <v>104</v>
      </c>
      <c r="F32" s="45"/>
      <c r="G32" s="47">
        <v>1.0900000000000001</v>
      </c>
      <c r="H32" s="83">
        <f>78/36</f>
        <v>2.1666666666666665</v>
      </c>
      <c r="O32" s="67"/>
      <c r="P32" s="88">
        <f t="shared" si="0"/>
        <v>0.4</v>
      </c>
    </row>
    <row r="33" spans="1:16" x14ac:dyDescent="0.2">
      <c r="A33" s="28">
        <v>29</v>
      </c>
      <c r="B33" s="29" t="s">
        <v>181</v>
      </c>
      <c r="C33" s="30" t="s">
        <v>182</v>
      </c>
      <c r="D33" s="29" t="s">
        <v>183</v>
      </c>
      <c r="E33" s="29" t="s">
        <v>184</v>
      </c>
      <c r="F33" s="29"/>
      <c r="G33" s="47">
        <v>1.127</v>
      </c>
      <c r="H33" s="83">
        <f>74/34</f>
        <v>2.1764705882352939</v>
      </c>
      <c r="I33" s="32">
        <v>39</v>
      </c>
      <c r="J33" s="32">
        <v>39</v>
      </c>
      <c r="K33" s="32">
        <v>39</v>
      </c>
      <c r="L33" s="32">
        <v>39</v>
      </c>
      <c r="M33" s="32">
        <v>39</v>
      </c>
      <c r="N33" s="21">
        <v>39</v>
      </c>
      <c r="O33" s="67" t="e">
        <f>#REF!+#REF!+#REF!+#REF!+#REF!+#REF!</f>
        <v>#REF!</v>
      </c>
      <c r="P33" s="88">
        <f t="shared" si="0"/>
        <v>0.41428571428571431</v>
      </c>
    </row>
    <row r="34" spans="1:16" x14ac:dyDescent="0.2">
      <c r="A34" s="28">
        <v>30</v>
      </c>
      <c r="B34" s="20" t="s">
        <v>237</v>
      </c>
      <c r="C34" s="33">
        <v>550</v>
      </c>
      <c r="D34" s="20" t="s">
        <v>238</v>
      </c>
      <c r="E34" s="20" t="s">
        <v>239</v>
      </c>
      <c r="F34" s="20"/>
      <c r="G34" s="47">
        <v>1.1399999999999999</v>
      </c>
      <c r="H34" s="83">
        <f>74/34</f>
        <v>2.1764705882352939</v>
      </c>
      <c r="I34" s="32">
        <v>14</v>
      </c>
      <c r="J34" s="32">
        <v>15</v>
      </c>
      <c r="K34" s="32">
        <v>15</v>
      </c>
      <c r="L34" s="32">
        <v>23</v>
      </c>
      <c r="M34" s="32">
        <v>18</v>
      </c>
      <c r="N34" s="21">
        <v>21</v>
      </c>
      <c r="O34" s="67" t="e">
        <f>#REF!+#REF!+#REF!+#REF!+#REF!+#REF!</f>
        <v>#REF!</v>
      </c>
      <c r="P34" s="88">
        <f t="shared" si="0"/>
        <v>0.42857142857142855</v>
      </c>
    </row>
    <row r="35" spans="1:16" x14ac:dyDescent="0.2">
      <c r="A35" s="28">
        <v>31</v>
      </c>
      <c r="B35" s="38" t="s">
        <v>112</v>
      </c>
      <c r="C35" s="46">
        <v>10035</v>
      </c>
      <c r="D35" s="39" t="s">
        <v>113</v>
      </c>
      <c r="E35" s="40" t="s">
        <v>114</v>
      </c>
      <c r="F35" s="41" t="s">
        <v>58</v>
      </c>
      <c r="G35" s="47">
        <v>1.0569999999999999</v>
      </c>
      <c r="H35" s="83">
        <f>78.5/36</f>
        <v>2.1805555555555554</v>
      </c>
      <c r="I35" s="32">
        <v>4</v>
      </c>
      <c r="J35" s="32">
        <v>4</v>
      </c>
      <c r="K35" s="32">
        <v>2</v>
      </c>
      <c r="L35" s="32">
        <v>13</v>
      </c>
      <c r="M35" s="32">
        <v>10</v>
      </c>
      <c r="N35" s="21">
        <v>3</v>
      </c>
      <c r="O35" s="67" t="e">
        <f>#REF!+#REF!+#REF!+#REF!+#REF!+#REF!</f>
        <v>#REF!</v>
      </c>
      <c r="P35" s="88">
        <f t="shared" si="0"/>
        <v>0.44285714285714284</v>
      </c>
    </row>
    <row r="36" spans="1:16" x14ac:dyDescent="0.2">
      <c r="A36" s="28">
        <v>32</v>
      </c>
      <c r="B36" s="29" t="s">
        <v>118</v>
      </c>
      <c r="C36" s="30" t="s">
        <v>240</v>
      </c>
      <c r="D36" s="29" t="s">
        <v>241</v>
      </c>
      <c r="E36" s="29" t="s">
        <v>242</v>
      </c>
      <c r="F36" s="29"/>
      <c r="G36" s="47">
        <v>1.167</v>
      </c>
      <c r="H36" s="83">
        <f>76/34</f>
        <v>2.2352941176470589</v>
      </c>
      <c r="I36" s="32">
        <v>17</v>
      </c>
      <c r="J36" s="32">
        <v>5</v>
      </c>
      <c r="K36" s="32">
        <v>9</v>
      </c>
      <c r="L36" s="32">
        <v>18</v>
      </c>
      <c r="M36" s="32">
        <v>9</v>
      </c>
      <c r="N36" s="21">
        <v>12</v>
      </c>
      <c r="O36" s="67" t="e">
        <f>#REF!+#REF!+#REF!+#REF!+#REF!+#REF!</f>
        <v>#REF!</v>
      </c>
      <c r="P36" s="88">
        <f t="shared" si="0"/>
        <v>0.45714285714285713</v>
      </c>
    </row>
    <row r="37" spans="1:16" x14ac:dyDescent="0.2">
      <c r="A37" s="28">
        <v>33</v>
      </c>
      <c r="B37" s="42" t="s">
        <v>142</v>
      </c>
      <c r="C37" s="43">
        <v>49</v>
      </c>
      <c r="D37" s="44" t="s">
        <v>143</v>
      </c>
      <c r="E37" s="37" t="s">
        <v>144</v>
      </c>
      <c r="F37" s="45"/>
      <c r="G37" s="47">
        <v>1.0089999999999999</v>
      </c>
      <c r="H37" s="83">
        <f>82/36</f>
        <v>2.2777777777777777</v>
      </c>
      <c r="I37" s="32">
        <v>39</v>
      </c>
      <c r="J37" s="32">
        <v>39</v>
      </c>
      <c r="K37" s="32">
        <v>39</v>
      </c>
      <c r="L37" s="32">
        <v>39</v>
      </c>
      <c r="M37" s="32">
        <v>39</v>
      </c>
      <c r="N37" s="21">
        <v>39</v>
      </c>
      <c r="O37" s="67" t="e">
        <f>#REF!+#REF!+#REF!+#REF!+#REF!+#REF!</f>
        <v>#REF!</v>
      </c>
      <c r="P37" s="88">
        <f t="shared" si="0"/>
        <v>0.47142857142857142</v>
      </c>
    </row>
    <row r="38" spans="1:16" x14ac:dyDescent="0.2">
      <c r="A38" s="28">
        <v>34</v>
      </c>
      <c r="B38" s="20" t="s">
        <v>74</v>
      </c>
      <c r="C38" s="33">
        <v>6484</v>
      </c>
      <c r="D38" s="20" t="s">
        <v>243</v>
      </c>
      <c r="E38" s="20" t="s">
        <v>244</v>
      </c>
      <c r="F38" s="20"/>
      <c r="G38" s="47">
        <v>1.119</v>
      </c>
      <c r="H38" s="83">
        <f>81.5/34</f>
        <v>2.3970588235294117</v>
      </c>
      <c r="I38" s="32">
        <v>39</v>
      </c>
      <c r="J38" s="32">
        <v>39</v>
      </c>
      <c r="K38" s="32">
        <v>39</v>
      </c>
      <c r="L38" s="32">
        <v>39</v>
      </c>
      <c r="M38" s="32">
        <v>39</v>
      </c>
      <c r="N38" s="21">
        <v>39</v>
      </c>
      <c r="O38" s="67" t="e">
        <f>#REF!+#REF!+#REF!+#REF!+#REF!+#REF!</f>
        <v>#REF!</v>
      </c>
      <c r="P38" s="88">
        <f t="shared" si="0"/>
        <v>0.48571428571428571</v>
      </c>
    </row>
    <row r="39" spans="1:16" x14ac:dyDescent="0.2">
      <c r="A39" s="28">
        <v>35</v>
      </c>
      <c r="B39" s="20" t="s">
        <v>245</v>
      </c>
      <c r="C39" s="33">
        <v>35</v>
      </c>
      <c r="D39" s="20" t="s">
        <v>246</v>
      </c>
      <c r="E39" s="20" t="s">
        <v>247</v>
      </c>
      <c r="F39" s="20"/>
      <c r="G39" s="47">
        <v>1.091</v>
      </c>
      <c r="H39" s="83">
        <f>83/34</f>
        <v>2.4411764705882355</v>
      </c>
      <c r="I39" s="32">
        <v>39</v>
      </c>
      <c r="J39" s="32">
        <v>39</v>
      </c>
      <c r="K39" s="32">
        <v>39</v>
      </c>
      <c r="L39" s="32">
        <v>39</v>
      </c>
      <c r="M39" s="32">
        <v>39</v>
      </c>
      <c r="N39" s="21">
        <v>39</v>
      </c>
      <c r="O39" s="67" t="e">
        <f>#REF!+#REF!+#REF!+#REF!+#REF!+#REF!</f>
        <v>#REF!</v>
      </c>
      <c r="P39" s="88">
        <f t="shared" si="0"/>
        <v>0.5</v>
      </c>
    </row>
    <row r="40" spans="1:16" x14ac:dyDescent="0.2">
      <c r="A40" s="28">
        <v>36</v>
      </c>
      <c r="B40" s="20" t="s">
        <v>159</v>
      </c>
      <c r="C40" s="33">
        <v>33</v>
      </c>
      <c r="D40" s="20" t="s">
        <v>160</v>
      </c>
      <c r="E40" s="20" t="s">
        <v>161</v>
      </c>
      <c r="F40" s="20" t="s">
        <v>66</v>
      </c>
      <c r="G40" s="48">
        <v>1.113</v>
      </c>
      <c r="H40" s="83">
        <f>84.5/34</f>
        <v>2.4852941176470589</v>
      </c>
      <c r="O40" s="67"/>
      <c r="P40" s="88">
        <f t="shared" si="0"/>
        <v>0.51428571428571423</v>
      </c>
    </row>
    <row r="41" spans="1:16" x14ac:dyDescent="0.2">
      <c r="A41" s="28">
        <v>37</v>
      </c>
      <c r="B41" s="20" t="s">
        <v>74</v>
      </c>
      <c r="C41" s="33">
        <v>6</v>
      </c>
      <c r="D41" s="20" t="s">
        <v>41</v>
      </c>
      <c r="E41" s="20" t="s">
        <v>42</v>
      </c>
      <c r="F41" s="20" t="s">
        <v>26</v>
      </c>
      <c r="G41" s="47">
        <v>1.091</v>
      </c>
      <c r="H41" s="83">
        <f>85/34</f>
        <v>2.5</v>
      </c>
      <c r="I41" s="32">
        <v>39</v>
      </c>
      <c r="J41" s="32">
        <v>39</v>
      </c>
      <c r="K41" s="32">
        <v>39</v>
      </c>
      <c r="L41" s="32">
        <v>39</v>
      </c>
      <c r="M41" s="32">
        <v>39</v>
      </c>
      <c r="N41" s="21">
        <v>39</v>
      </c>
      <c r="O41" s="67" t="e">
        <f>#REF!+#REF!+#REF!+#REF!+#REF!+#REF!</f>
        <v>#REF!</v>
      </c>
      <c r="P41" s="88">
        <f t="shared" si="0"/>
        <v>0.52857142857142858</v>
      </c>
    </row>
    <row r="42" spans="1:16" x14ac:dyDescent="0.2">
      <c r="A42" s="69">
        <v>38</v>
      </c>
      <c r="B42" s="20" t="s">
        <v>75</v>
      </c>
      <c r="C42" s="33">
        <v>381</v>
      </c>
      <c r="D42" s="20" t="s">
        <v>198</v>
      </c>
      <c r="E42" s="20" t="s">
        <v>199</v>
      </c>
      <c r="F42" s="20"/>
      <c r="G42" s="70">
        <v>1.1120000000000001</v>
      </c>
      <c r="H42" s="83">
        <f>90/36</f>
        <v>2.5</v>
      </c>
      <c r="I42" s="32">
        <v>25</v>
      </c>
      <c r="J42" s="32">
        <v>35</v>
      </c>
      <c r="K42" s="32">
        <v>25</v>
      </c>
      <c r="L42" s="32">
        <v>6</v>
      </c>
      <c r="M42" s="32">
        <v>10</v>
      </c>
      <c r="N42" s="21">
        <v>14</v>
      </c>
      <c r="O42" s="67" t="e">
        <f>#REF!+#REF!+#REF!+#REF!+#REF!+#REF!</f>
        <v>#REF!</v>
      </c>
      <c r="P42" s="88">
        <f t="shared" si="0"/>
        <v>0.54285714285714282</v>
      </c>
    </row>
    <row r="43" spans="1:16" x14ac:dyDescent="0.2">
      <c r="A43" s="69">
        <v>39</v>
      </c>
      <c r="B43" s="20" t="s">
        <v>76</v>
      </c>
      <c r="C43" s="33">
        <v>12343</v>
      </c>
      <c r="D43" s="20" t="s">
        <v>129</v>
      </c>
      <c r="E43" s="20" t="s">
        <v>130</v>
      </c>
      <c r="F43" s="20" t="s">
        <v>131</v>
      </c>
      <c r="G43" s="80">
        <v>1.2130000000000001</v>
      </c>
      <c r="H43" s="83">
        <f>87/34</f>
        <v>2.5588235294117645</v>
      </c>
      <c r="I43" s="32">
        <v>39</v>
      </c>
      <c r="J43" s="32">
        <v>39</v>
      </c>
      <c r="K43" s="32">
        <v>39</v>
      </c>
      <c r="L43" s="32">
        <v>39</v>
      </c>
      <c r="M43" s="32">
        <v>39</v>
      </c>
      <c r="N43" s="21">
        <v>39</v>
      </c>
      <c r="O43" s="67" t="e">
        <f>#REF!+#REF!+#REF!+#REF!+#REF!+#REF!</f>
        <v>#REF!</v>
      </c>
      <c r="P43" s="88">
        <f t="shared" si="0"/>
        <v>0.55714285714285716</v>
      </c>
    </row>
    <row r="44" spans="1:16" x14ac:dyDescent="0.2">
      <c r="A44" s="69">
        <v>40</v>
      </c>
      <c r="B44" s="20" t="s">
        <v>29</v>
      </c>
      <c r="C44" s="33">
        <v>306</v>
      </c>
      <c r="D44" s="20" t="s">
        <v>30</v>
      </c>
      <c r="E44" s="20" t="s">
        <v>31</v>
      </c>
      <c r="F44" s="20" t="s">
        <v>25</v>
      </c>
      <c r="G44" s="70">
        <v>1.0169999999999999</v>
      </c>
      <c r="H44" s="83">
        <f>93/36</f>
        <v>2.5833333333333335</v>
      </c>
      <c r="I44" s="32">
        <v>39</v>
      </c>
      <c r="J44" s="32">
        <v>39</v>
      </c>
      <c r="K44" s="32">
        <v>39</v>
      </c>
      <c r="L44" s="32">
        <v>39</v>
      </c>
      <c r="M44" s="32">
        <v>39</v>
      </c>
      <c r="N44" s="21">
        <v>39</v>
      </c>
      <c r="O44" s="67" t="e">
        <f>#REF!+#REF!+#REF!+#REF!+#REF!+#REF!</f>
        <v>#REF!</v>
      </c>
      <c r="P44" s="88">
        <f t="shared" si="0"/>
        <v>0.5714285714285714</v>
      </c>
    </row>
    <row r="45" spans="1:16" x14ac:dyDescent="0.2">
      <c r="A45" s="69">
        <v>41</v>
      </c>
      <c r="B45" s="20" t="s">
        <v>75</v>
      </c>
      <c r="C45" s="33">
        <v>34</v>
      </c>
      <c r="D45" s="20" t="s">
        <v>200</v>
      </c>
      <c r="E45" s="20" t="s">
        <v>201</v>
      </c>
      <c r="F45" s="20"/>
      <c r="G45" s="70">
        <v>1.0980000000000001</v>
      </c>
      <c r="H45" s="83">
        <f>95/36</f>
        <v>2.6388888888888888</v>
      </c>
      <c r="I45" s="32">
        <v>16</v>
      </c>
      <c r="J45" s="32">
        <v>23</v>
      </c>
      <c r="K45" s="32">
        <v>23</v>
      </c>
      <c r="L45" s="32">
        <v>14</v>
      </c>
      <c r="M45" s="32">
        <v>13</v>
      </c>
      <c r="N45" s="21">
        <v>12</v>
      </c>
      <c r="O45" s="67" t="e">
        <f>#REF!+#REF!+#REF!+#REF!+#REF!+#REF!</f>
        <v>#REF!</v>
      </c>
      <c r="P45" s="88">
        <f t="shared" si="0"/>
        <v>0.58571428571428574</v>
      </c>
    </row>
    <row r="46" spans="1:16" x14ac:dyDescent="0.2">
      <c r="A46" s="69">
        <v>42</v>
      </c>
      <c r="B46" s="38" t="s">
        <v>248</v>
      </c>
      <c r="C46" s="46">
        <v>13540</v>
      </c>
      <c r="D46" s="39" t="s">
        <v>249</v>
      </c>
      <c r="E46" s="40" t="s">
        <v>250</v>
      </c>
      <c r="F46" s="41"/>
      <c r="G46" s="70">
        <v>1.169</v>
      </c>
      <c r="H46" s="83">
        <f>91/34</f>
        <v>2.6764705882352939</v>
      </c>
      <c r="I46" s="32">
        <v>39</v>
      </c>
      <c r="J46" s="32">
        <v>39</v>
      </c>
      <c r="K46" s="32">
        <v>39</v>
      </c>
      <c r="L46" s="32">
        <v>39</v>
      </c>
      <c r="M46" s="32">
        <v>39</v>
      </c>
      <c r="N46" s="21">
        <v>39</v>
      </c>
      <c r="O46" s="67" t="e">
        <f>#REF!+#REF!+#REF!+#REF!+#REF!+#REF!</f>
        <v>#REF!</v>
      </c>
      <c r="P46" s="88">
        <f t="shared" si="0"/>
        <v>0.6</v>
      </c>
    </row>
    <row r="47" spans="1:16" x14ac:dyDescent="0.2">
      <c r="A47" s="69">
        <v>43</v>
      </c>
      <c r="B47" s="20" t="s">
        <v>162</v>
      </c>
      <c r="C47" s="33">
        <v>10008</v>
      </c>
      <c r="D47" s="20" t="s">
        <v>163</v>
      </c>
      <c r="E47" s="20" t="s">
        <v>164</v>
      </c>
      <c r="F47" s="20" t="s">
        <v>165</v>
      </c>
      <c r="G47" s="70">
        <v>1.413</v>
      </c>
      <c r="H47" s="83">
        <f>93/34</f>
        <v>2.7352941176470589</v>
      </c>
      <c r="I47" s="32">
        <v>39</v>
      </c>
      <c r="J47" s="32">
        <v>39</v>
      </c>
      <c r="K47" s="32">
        <v>39</v>
      </c>
      <c r="L47" s="32">
        <v>39</v>
      </c>
      <c r="M47" s="32">
        <v>39</v>
      </c>
      <c r="N47" s="21">
        <v>39</v>
      </c>
      <c r="O47" s="67" t="e">
        <f>#REF!+#REF!+#REF!+#REF!+#REF!+#REF!</f>
        <v>#REF!</v>
      </c>
      <c r="P47" s="88">
        <f t="shared" si="0"/>
        <v>0.61428571428571432</v>
      </c>
    </row>
    <row r="48" spans="1:16" x14ac:dyDescent="0.2">
      <c r="A48" s="69">
        <v>44</v>
      </c>
      <c r="B48" s="38" t="s">
        <v>168</v>
      </c>
      <c r="C48" s="46">
        <v>11131</v>
      </c>
      <c r="D48" s="39" t="s">
        <v>169</v>
      </c>
      <c r="E48" s="40" t="s">
        <v>170</v>
      </c>
      <c r="F48" s="41" t="s">
        <v>66</v>
      </c>
      <c r="G48" s="70">
        <v>1.085</v>
      </c>
      <c r="H48" s="83">
        <f>99.5/36</f>
        <v>2.7638888888888888</v>
      </c>
      <c r="I48" s="32">
        <v>32</v>
      </c>
      <c r="J48" s="32">
        <v>22</v>
      </c>
      <c r="K48" s="32">
        <v>32</v>
      </c>
      <c r="L48" s="32">
        <v>31</v>
      </c>
      <c r="M48" s="32">
        <v>39</v>
      </c>
      <c r="N48" s="21">
        <v>39</v>
      </c>
      <c r="O48" s="67" t="e">
        <f>#REF!+#REF!+#REF!+#REF!+#REF!+#REF!</f>
        <v>#REF!</v>
      </c>
      <c r="P48" s="88">
        <f t="shared" si="0"/>
        <v>0.62857142857142856</v>
      </c>
    </row>
    <row r="49" spans="1:16" x14ac:dyDescent="0.2">
      <c r="A49" s="69">
        <v>45</v>
      </c>
      <c r="B49" s="38" t="s">
        <v>202</v>
      </c>
      <c r="C49" s="46">
        <v>1</v>
      </c>
      <c r="D49" s="39" t="s">
        <v>203</v>
      </c>
      <c r="E49" s="40" t="s">
        <v>204</v>
      </c>
      <c r="F49" s="41"/>
      <c r="G49" s="80">
        <v>1.0609999999999999</v>
      </c>
      <c r="H49" s="83">
        <f>101/36</f>
        <v>2.8055555555555554</v>
      </c>
      <c r="I49" s="32">
        <v>39</v>
      </c>
      <c r="J49" s="32">
        <v>39</v>
      </c>
      <c r="K49" s="32">
        <v>39</v>
      </c>
      <c r="L49" s="32">
        <v>39</v>
      </c>
      <c r="M49" s="32">
        <v>39</v>
      </c>
      <c r="N49" s="32">
        <v>39</v>
      </c>
      <c r="O49" s="92" t="e">
        <f>#REF!+#REF!+#REF!+#REF!+#REF!+#REF!</f>
        <v>#REF!</v>
      </c>
      <c r="P49" s="88">
        <f t="shared" si="0"/>
        <v>0.6428571428571429</v>
      </c>
    </row>
    <row r="50" spans="1:16" x14ac:dyDescent="0.2">
      <c r="A50" s="69">
        <v>46</v>
      </c>
      <c r="B50" s="20" t="s">
        <v>94</v>
      </c>
      <c r="C50" s="33">
        <v>3</v>
      </c>
      <c r="D50" s="20" t="s">
        <v>95</v>
      </c>
      <c r="E50" s="20" t="s">
        <v>96</v>
      </c>
      <c r="F50" s="20" t="s">
        <v>26</v>
      </c>
      <c r="G50" s="80">
        <v>1.0920000000000001</v>
      </c>
      <c r="H50" s="83">
        <f>97/34</f>
        <v>2.8529411764705883</v>
      </c>
      <c r="I50" s="32">
        <v>39</v>
      </c>
      <c r="J50" s="32">
        <v>39</v>
      </c>
      <c r="K50" s="32">
        <v>39</v>
      </c>
      <c r="L50" s="32">
        <v>39</v>
      </c>
      <c r="M50" s="32">
        <v>39</v>
      </c>
      <c r="N50" s="21">
        <v>39</v>
      </c>
      <c r="O50" s="67" t="e">
        <f>#REF!+#REF!+#REF!+#REF!+#REF!+#REF!</f>
        <v>#REF!</v>
      </c>
      <c r="P50" s="88">
        <f t="shared" si="0"/>
        <v>0.65714285714285714</v>
      </c>
    </row>
    <row r="51" spans="1:16" x14ac:dyDescent="0.2">
      <c r="A51" s="69">
        <v>47</v>
      </c>
      <c r="B51" s="38" t="s">
        <v>121</v>
      </c>
      <c r="C51" s="46">
        <v>9267</v>
      </c>
      <c r="D51" s="39" t="s">
        <v>122</v>
      </c>
      <c r="E51" s="40" t="s">
        <v>123</v>
      </c>
      <c r="F51" s="41" t="s">
        <v>124</v>
      </c>
      <c r="G51" s="70">
        <v>1.123</v>
      </c>
      <c r="H51" s="83">
        <f>98/34</f>
        <v>2.8823529411764706</v>
      </c>
      <c r="I51" s="32">
        <v>39</v>
      </c>
      <c r="J51" s="32">
        <v>39</v>
      </c>
      <c r="K51" s="32">
        <v>39</v>
      </c>
      <c r="L51" s="32">
        <v>39</v>
      </c>
      <c r="M51" s="32">
        <v>39</v>
      </c>
      <c r="N51" s="32">
        <v>39</v>
      </c>
      <c r="O51" s="92" t="e">
        <f>#REF!+#REF!+#REF!+#REF!+#REF!+#REF!</f>
        <v>#REF!</v>
      </c>
      <c r="P51" s="88">
        <f t="shared" si="0"/>
        <v>0.67142857142857137</v>
      </c>
    </row>
    <row r="52" spans="1:16" x14ac:dyDescent="0.2">
      <c r="A52" s="69">
        <v>48</v>
      </c>
      <c r="B52" s="20" t="s">
        <v>148</v>
      </c>
      <c r="C52" s="33">
        <v>162</v>
      </c>
      <c r="D52" s="20" t="s">
        <v>149</v>
      </c>
      <c r="E52" s="20" t="s">
        <v>150</v>
      </c>
      <c r="F52" s="20" t="s">
        <v>151</v>
      </c>
      <c r="G52" s="70">
        <v>1.1499999999999999</v>
      </c>
      <c r="H52" s="83">
        <f>98.5/34</f>
        <v>2.8970588235294117</v>
      </c>
      <c r="I52" s="32">
        <v>39</v>
      </c>
      <c r="J52" s="32">
        <v>39</v>
      </c>
      <c r="K52" s="32">
        <v>39</v>
      </c>
      <c r="L52" s="32">
        <v>39</v>
      </c>
      <c r="M52" s="32">
        <v>39</v>
      </c>
      <c r="N52" s="21">
        <v>39</v>
      </c>
      <c r="O52" s="67" t="e">
        <f>#REF!+#REF!+#REF!+#REF!+#REF!+#REF!</f>
        <v>#REF!</v>
      </c>
      <c r="P52" s="88">
        <f t="shared" si="0"/>
        <v>0.68571428571428572</v>
      </c>
    </row>
    <row r="53" spans="1:16" x14ac:dyDescent="0.2">
      <c r="A53" s="69">
        <v>49</v>
      </c>
      <c r="B53" s="20" t="s">
        <v>159</v>
      </c>
      <c r="C53" s="33">
        <v>75</v>
      </c>
      <c r="D53" s="20" t="s">
        <v>174</v>
      </c>
      <c r="E53" s="20" t="s">
        <v>175</v>
      </c>
      <c r="F53" s="20" t="s">
        <v>176</v>
      </c>
      <c r="G53" s="70">
        <v>1.093</v>
      </c>
      <c r="H53" s="83">
        <f>102/34</f>
        <v>3</v>
      </c>
      <c r="I53" s="32">
        <v>39</v>
      </c>
      <c r="J53" s="32">
        <v>39</v>
      </c>
      <c r="K53" s="32">
        <v>39</v>
      </c>
      <c r="L53" s="32">
        <v>39</v>
      </c>
      <c r="M53" s="32">
        <v>39</v>
      </c>
      <c r="N53" s="21">
        <v>39</v>
      </c>
      <c r="O53" s="67" t="e">
        <f>#REF!+#REF!+#REF!+#REF!+#REF!+#REF!</f>
        <v>#REF!</v>
      </c>
      <c r="P53" s="88">
        <f t="shared" si="0"/>
        <v>0.7</v>
      </c>
    </row>
    <row r="54" spans="1:16" x14ac:dyDescent="0.2">
      <c r="A54" s="69">
        <v>50</v>
      </c>
      <c r="B54" s="29" t="s">
        <v>112</v>
      </c>
      <c r="C54" s="30" t="s">
        <v>205</v>
      </c>
      <c r="D54" s="29" t="s">
        <v>206</v>
      </c>
      <c r="E54" s="29" t="s">
        <v>207</v>
      </c>
      <c r="F54" s="29" t="s">
        <v>66</v>
      </c>
      <c r="G54" s="70">
        <v>1.0580000000000001</v>
      </c>
      <c r="H54" s="83">
        <f>108/36</f>
        <v>3</v>
      </c>
      <c r="I54" s="32">
        <v>39</v>
      </c>
      <c r="J54" s="32">
        <v>39</v>
      </c>
      <c r="K54" s="32">
        <v>39</v>
      </c>
      <c r="L54" s="32">
        <v>39</v>
      </c>
      <c r="M54" s="32">
        <v>39</v>
      </c>
      <c r="N54" s="21">
        <v>39</v>
      </c>
      <c r="O54" s="67" t="e">
        <f>#REF!+#REF!+#REF!+#REF!+#REF!+#REF!</f>
        <v>#REF!</v>
      </c>
      <c r="P54" s="88">
        <f t="shared" si="0"/>
        <v>0.7142857142857143</v>
      </c>
    </row>
    <row r="55" spans="1:16" x14ac:dyDescent="0.2">
      <c r="A55" s="69">
        <v>51</v>
      </c>
      <c r="B55" s="20" t="s">
        <v>251</v>
      </c>
      <c r="C55" s="75">
        <v>15</v>
      </c>
      <c r="D55" s="20" t="s">
        <v>252</v>
      </c>
      <c r="E55" s="20" t="s">
        <v>253</v>
      </c>
      <c r="F55" s="20"/>
      <c r="G55" s="90">
        <v>1.2709999999999999</v>
      </c>
      <c r="H55" s="83">
        <f>104/34</f>
        <v>3.0588235294117645</v>
      </c>
      <c r="I55" s="32">
        <v>39</v>
      </c>
      <c r="J55" s="32">
        <v>39</v>
      </c>
      <c r="K55" s="32">
        <v>39</v>
      </c>
      <c r="L55" s="32">
        <v>39</v>
      </c>
      <c r="M55" s="32">
        <v>39</v>
      </c>
      <c r="N55" s="21">
        <v>39</v>
      </c>
      <c r="O55" s="67" t="e">
        <f>#REF!+#REF!+#REF!+#REF!+#REF!+#REF!</f>
        <v>#REF!</v>
      </c>
      <c r="P55" s="88">
        <f t="shared" si="0"/>
        <v>0.72857142857142854</v>
      </c>
    </row>
    <row r="56" spans="1:16" x14ac:dyDescent="0.2">
      <c r="A56" s="69">
        <v>52</v>
      </c>
      <c r="B56" s="71" t="s">
        <v>51</v>
      </c>
      <c r="C56" s="89">
        <v>529</v>
      </c>
      <c r="D56" s="71" t="s">
        <v>208</v>
      </c>
      <c r="E56" s="71" t="s">
        <v>209</v>
      </c>
      <c r="F56" s="71"/>
      <c r="G56" s="80">
        <v>1.0289999999999999</v>
      </c>
      <c r="H56" s="83">
        <f>111/36</f>
        <v>3.0833333333333335</v>
      </c>
      <c r="I56" s="32">
        <v>39</v>
      </c>
      <c r="J56" s="32">
        <v>39</v>
      </c>
      <c r="K56" s="32">
        <v>39</v>
      </c>
      <c r="L56" s="32">
        <v>39</v>
      </c>
      <c r="M56" s="32">
        <v>39</v>
      </c>
      <c r="N56" s="21">
        <v>39</v>
      </c>
      <c r="O56" s="67" t="e">
        <f>#REF!+#REF!+#REF!+#REF!+#REF!+#REF!</f>
        <v>#REF!</v>
      </c>
      <c r="P56" s="88">
        <f t="shared" si="0"/>
        <v>0.74285714285714288</v>
      </c>
    </row>
    <row r="57" spans="1:16" x14ac:dyDescent="0.2">
      <c r="A57" s="69">
        <v>53</v>
      </c>
      <c r="B57" s="29" t="s">
        <v>71</v>
      </c>
      <c r="C57" s="30">
        <v>6</v>
      </c>
      <c r="D57" s="29" t="s">
        <v>126</v>
      </c>
      <c r="E57" s="29" t="s">
        <v>127</v>
      </c>
      <c r="F57" s="29" t="s">
        <v>128</v>
      </c>
      <c r="G57" s="70">
        <v>1.0429999999999999</v>
      </c>
      <c r="H57" s="83">
        <f>111/36</f>
        <v>3.0833333333333335</v>
      </c>
      <c r="I57" s="32">
        <v>39</v>
      </c>
      <c r="J57" s="32">
        <v>39</v>
      </c>
      <c r="K57" s="32">
        <v>39</v>
      </c>
      <c r="L57" s="32">
        <v>39</v>
      </c>
      <c r="M57" s="32">
        <v>39</v>
      </c>
      <c r="N57" s="21">
        <v>39</v>
      </c>
      <c r="O57" s="67" t="e">
        <f>#REF!+#REF!+#REF!+#REF!+#REF!+#REF!</f>
        <v>#REF!</v>
      </c>
      <c r="P57" s="88">
        <f t="shared" si="0"/>
        <v>0.75714285714285712</v>
      </c>
    </row>
    <row r="58" spans="1:16" x14ac:dyDescent="0.2">
      <c r="A58" s="69">
        <v>54</v>
      </c>
      <c r="B58" s="108" t="s">
        <v>145</v>
      </c>
      <c r="C58" s="109">
        <v>393</v>
      </c>
      <c r="D58" s="110" t="s">
        <v>210</v>
      </c>
      <c r="E58" s="111" t="s">
        <v>211</v>
      </c>
      <c r="F58" s="112" t="s">
        <v>36</v>
      </c>
      <c r="G58" s="70">
        <v>1.018</v>
      </c>
      <c r="H58" s="83">
        <f>111.5/36</f>
        <v>3.0972222222222223</v>
      </c>
      <c r="I58" s="32">
        <v>39</v>
      </c>
      <c r="J58" s="32">
        <v>39</v>
      </c>
      <c r="K58" s="32">
        <v>39</v>
      </c>
      <c r="L58" s="32">
        <v>39</v>
      </c>
      <c r="M58" s="32">
        <v>39</v>
      </c>
      <c r="N58" s="21">
        <v>39</v>
      </c>
      <c r="O58" s="67" t="e">
        <f>#REF!+#REF!+#REF!+#REF!+#REF!+#REF!</f>
        <v>#REF!</v>
      </c>
      <c r="P58" s="88">
        <f t="shared" si="0"/>
        <v>0.77142857142857146</v>
      </c>
    </row>
    <row r="59" spans="1:16" x14ac:dyDescent="0.2">
      <c r="A59" s="69">
        <v>55</v>
      </c>
      <c r="B59" s="38" t="s">
        <v>254</v>
      </c>
      <c r="C59" s="46">
        <v>5006</v>
      </c>
      <c r="D59" s="39" t="s">
        <v>90</v>
      </c>
      <c r="E59" s="40" t="s">
        <v>91</v>
      </c>
      <c r="F59" s="41"/>
      <c r="G59" s="70">
        <v>1.3859999999999999</v>
      </c>
      <c r="H59" s="83">
        <f>107/34</f>
        <v>3.1470588235294117</v>
      </c>
      <c r="I59" s="32">
        <v>22</v>
      </c>
      <c r="J59" s="32">
        <v>22</v>
      </c>
      <c r="K59" s="32">
        <v>23</v>
      </c>
      <c r="L59" s="32">
        <v>22</v>
      </c>
      <c r="M59" s="32">
        <v>13</v>
      </c>
      <c r="N59" s="21">
        <v>20</v>
      </c>
      <c r="O59" s="67" t="e">
        <f>#REF!+#REF!+#REF!+#REF!+#REF!+#REF!</f>
        <v>#REF!</v>
      </c>
      <c r="P59" s="88">
        <f t="shared" si="0"/>
        <v>0.7857142857142857</v>
      </c>
    </row>
    <row r="60" spans="1:16" x14ac:dyDescent="0.2">
      <c r="A60" s="69">
        <v>56</v>
      </c>
      <c r="B60" s="38" t="s">
        <v>29</v>
      </c>
      <c r="C60" s="46">
        <v>348</v>
      </c>
      <c r="D60" s="39" t="s">
        <v>212</v>
      </c>
      <c r="E60" s="40" t="s">
        <v>213</v>
      </c>
      <c r="F60" s="41"/>
      <c r="G60" s="70">
        <v>1.0249999999999999</v>
      </c>
      <c r="H60" s="83">
        <f>114/36</f>
        <v>3.1666666666666665</v>
      </c>
      <c r="I60" s="32">
        <v>39</v>
      </c>
      <c r="J60" s="32">
        <v>39</v>
      </c>
      <c r="K60" s="32">
        <v>39</v>
      </c>
      <c r="L60" s="32">
        <v>39</v>
      </c>
      <c r="M60" s="32">
        <v>39</v>
      </c>
      <c r="N60" s="21">
        <v>39</v>
      </c>
      <c r="O60" s="67" t="e">
        <f>#REF!+#REF!+#REF!+#REF!+#REF!+#REF!</f>
        <v>#REF!</v>
      </c>
      <c r="P60" s="88">
        <f t="shared" si="0"/>
        <v>0.8</v>
      </c>
    </row>
    <row r="61" spans="1:16" x14ac:dyDescent="0.2">
      <c r="A61" s="69">
        <v>57</v>
      </c>
      <c r="B61" s="20" t="s">
        <v>43</v>
      </c>
      <c r="C61" s="20">
        <v>80</v>
      </c>
      <c r="D61" s="20" t="s">
        <v>45</v>
      </c>
      <c r="E61" s="20" t="s">
        <v>44</v>
      </c>
      <c r="F61" s="20" t="s">
        <v>26</v>
      </c>
      <c r="G61" s="80">
        <v>1.127</v>
      </c>
      <c r="H61" s="83">
        <f>108.5/34</f>
        <v>3.1911764705882355</v>
      </c>
      <c r="I61" s="32">
        <v>10</v>
      </c>
      <c r="J61" s="32">
        <v>32</v>
      </c>
      <c r="K61" s="32">
        <v>16</v>
      </c>
      <c r="L61" s="32">
        <v>35</v>
      </c>
      <c r="M61" s="32">
        <v>31</v>
      </c>
      <c r="N61" s="21">
        <v>28</v>
      </c>
      <c r="O61" s="67" t="e">
        <f>#REF!+#REF!+#REF!+#REF!+#REF!+#REF!</f>
        <v>#REF!</v>
      </c>
      <c r="P61" s="88">
        <f t="shared" si="0"/>
        <v>0.81428571428571428</v>
      </c>
    </row>
    <row r="62" spans="1:16" x14ac:dyDescent="0.2">
      <c r="A62" s="69">
        <v>58</v>
      </c>
      <c r="B62" s="20" t="s">
        <v>145</v>
      </c>
      <c r="C62" s="33">
        <v>350</v>
      </c>
      <c r="D62" s="20" t="s">
        <v>146</v>
      </c>
      <c r="E62" s="20" t="s">
        <v>147</v>
      </c>
      <c r="F62" s="20" t="s">
        <v>26</v>
      </c>
      <c r="G62" s="70">
        <v>1.042</v>
      </c>
      <c r="H62" s="83">
        <f>118/36</f>
        <v>3.2777777777777777</v>
      </c>
      <c r="I62" s="32">
        <v>39</v>
      </c>
      <c r="J62" s="32">
        <v>39</v>
      </c>
      <c r="K62" s="32">
        <v>39</v>
      </c>
      <c r="L62" s="32">
        <v>39</v>
      </c>
      <c r="M62" s="32">
        <v>39</v>
      </c>
      <c r="N62" s="21">
        <v>39</v>
      </c>
      <c r="O62" s="67" t="e">
        <f>#REF!+#REF!+#REF!+#REF!+#REF!+#REF!</f>
        <v>#REF!</v>
      </c>
      <c r="P62" s="88">
        <f t="shared" si="0"/>
        <v>0.82857142857142863</v>
      </c>
    </row>
    <row r="63" spans="1:16" x14ac:dyDescent="0.2">
      <c r="A63" s="69">
        <v>59</v>
      </c>
      <c r="B63" s="42" t="s">
        <v>40</v>
      </c>
      <c r="C63" s="43">
        <v>10035</v>
      </c>
      <c r="D63" s="44" t="s">
        <v>97</v>
      </c>
      <c r="E63" s="37" t="s">
        <v>98</v>
      </c>
      <c r="F63" s="45" t="s">
        <v>26</v>
      </c>
      <c r="G63" s="80">
        <v>1.1000000000000001</v>
      </c>
      <c r="H63" s="83">
        <f>113/34</f>
        <v>3.3235294117647061</v>
      </c>
      <c r="I63" s="32">
        <v>39</v>
      </c>
      <c r="J63" s="32">
        <v>39</v>
      </c>
      <c r="K63" s="32">
        <v>39</v>
      </c>
      <c r="L63" s="32">
        <v>39</v>
      </c>
      <c r="M63" s="32">
        <v>39</v>
      </c>
      <c r="N63" s="32">
        <v>39</v>
      </c>
      <c r="O63" s="92" t="e">
        <f>#REF!+#REF!+#REF!+#REF!+#REF!+#REF!</f>
        <v>#REF!</v>
      </c>
      <c r="P63" s="88">
        <f t="shared" si="0"/>
        <v>0.84285714285714286</v>
      </c>
    </row>
    <row r="64" spans="1:16" x14ac:dyDescent="0.2">
      <c r="A64" s="69">
        <v>60</v>
      </c>
      <c r="B64" s="65" t="s">
        <v>75</v>
      </c>
      <c r="C64" s="66">
        <v>26</v>
      </c>
      <c r="D64" s="65" t="s">
        <v>214</v>
      </c>
      <c r="E64" s="65" t="s">
        <v>215</v>
      </c>
      <c r="F64" s="65"/>
      <c r="G64" s="70">
        <v>1.115</v>
      </c>
      <c r="H64" s="83">
        <f>120/36</f>
        <v>3.3333333333333335</v>
      </c>
      <c r="I64" s="32">
        <v>6</v>
      </c>
      <c r="J64" s="32">
        <v>13</v>
      </c>
      <c r="K64" s="32">
        <v>9</v>
      </c>
      <c r="L64" s="32">
        <v>15</v>
      </c>
      <c r="M64" s="32">
        <v>5</v>
      </c>
      <c r="N64" s="21">
        <v>5</v>
      </c>
      <c r="O64" s="67" t="e">
        <f>#REF!+#REF!+#REF!+#REF!+#REF!+#REF!</f>
        <v>#REF!</v>
      </c>
      <c r="P64" s="88">
        <f t="shared" si="0"/>
        <v>0.8571428571428571</v>
      </c>
    </row>
    <row r="65" spans="1:16" x14ac:dyDescent="0.2">
      <c r="A65" s="69">
        <v>61</v>
      </c>
      <c r="B65" s="20" t="s">
        <v>35</v>
      </c>
      <c r="C65" s="33">
        <v>39</v>
      </c>
      <c r="D65" s="20" t="s">
        <v>27</v>
      </c>
      <c r="E65" s="20" t="s">
        <v>28</v>
      </c>
      <c r="F65" s="20" t="s">
        <v>36</v>
      </c>
      <c r="G65" s="70">
        <v>1.048</v>
      </c>
      <c r="H65" s="83">
        <f>120.5/36</f>
        <v>3.3472222222222223</v>
      </c>
      <c r="I65" s="32">
        <v>39</v>
      </c>
      <c r="J65" s="32">
        <v>15</v>
      </c>
      <c r="K65" s="32">
        <v>15</v>
      </c>
      <c r="L65" s="32">
        <v>18</v>
      </c>
      <c r="M65" s="32">
        <v>20</v>
      </c>
      <c r="N65" s="21">
        <v>20</v>
      </c>
      <c r="O65" s="67" t="e">
        <f>#REF!+#REF!+#REF!+#REF!+#REF!+#REF!</f>
        <v>#REF!</v>
      </c>
      <c r="P65" s="88">
        <f t="shared" si="0"/>
        <v>0.87142857142857144</v>
      </c>
    </row>
    <row r="66" spans="1:16" x14ac:dyDescent="0.2">
      <c r="A66" s="69">
        <v>62</v>
      </c>
      <c r="B66" s="20" t="s">
        <v>92</v>
      </c>
      <c r="C66" s="33">
        <v>265</v>
      </c>
      <c r="D66" s="20" t="s">
        <v>267</v>
      </c>
      <c r="E66" s="20" t="s">
        <v>266</v>
      </c>
      <c r="F66" s="20"/>
      <c r="G66" s="70">
        <v>1.0820000000000001</v>
      </c>
      <c r="H66" s="83">
        <f>125/36</f>
        <v>3.4722222222222223</v>
      </c>
      <c r="I66" s="32">
        <v>5</v>
      </c>
      <c r="J66" s="32">
        <v>10</v>
      </c>
      <c r="K66" s="32">
        <v>20</v>
      </c>
      <c r="L66" s="32">
        <v>6</v>
      </c>
      <c r="M66" s="32">
        <v>1</v>
      </c>
      <c r="N66" s="32">
        <v>4</v>
      </c>
      <c r="O66" s="92" t="e">
        <f>#REF!+#REF!+#REF!+#REF!+#REF!+#REF!</f>
        <v>#REF!</v>
      </c>
      <c r="P66" s="88">
        <f t="shared" si="0"/>
        <v>0.88571428571428568</v>
      </c>
    </row>
    <row r="67" spans="1:16" x14ac:dyDescent="0.2">
      <c r="A67" s="69">
        <v>63</v>
      </c>
      <c r="B67" s="29" t="s">
        <v>140</v>
      </c>
      <c r="C67" s="30" t="s">
        <v>255</v>
      </c>
      <c r="D67" s="29" t="s">
        <v>256</v>
      </c>
      <c r="E67" s="29" t="s">
        <v>154</v>
      </c>
      <c r="F67" s="29"/>
      <c r="G67" s="91">
        <v>1.212</v>
      </c>
      <c r="H67" s="83">
        <f>119/34</f>
        <v>3.5</v>
      </c>
      <c r="I67" s="32">
        <v>7</v>
      </c>
      <c r="J67" s="32">
        <v>16</v>
      </c>
      <c r="K67" s="32">
        <v>30</v>
      </c>
      <c r="L67" s="32">
        <v>25</v>
      </c>
      <c r="M67" s="32">
        <v>9</v>
      </c>
      <c r="N67" s="21">
        <v>10</v>
      </c>
      <c r="O67" s="67" t="e">
        <f>#REF!+#REF!+#REF!+#REF!+#REF!+#REF!</f>
        <v>#REF!</v>
      </c>
      <c r="P67" s="88">
        <f t="shared" si="0"/>
        <v>0.9</v>
      </c>
    </row>
    <row r="68" spans="1:16" x14ac:dyDescent="0.2">
      <c r="A68" s="69">
        <v>64</v>
      </c>
      <c r="B68" s="38" t="s">
        <v>112</v>
      </c>
      <c r="C68" s="46">
        <v>23</v>
      </c>
      <c r="D68" s="39" t="s">
        <v>216</v>
      </c>
      <c r="E68" s="40" t="s">
        <v>217</v>
      </c>
      <c r="F68" s="41"/>
      <c r="G68" s="70">
        <v>1.054</v>
      </c>
      <c r="H68" s="83">
        <f>128/36</f>
        <v>3.5555555555555554</v>
      </c>
      <c r="I68" s="32">
        <v>39</v>
      </c>
      <c r="J68" s="32">
        <v>39</v>
      </c>
      <c r="K68" s="32">
        <v>39</v>
      </c>
      <c r="L68" s="32">
        <v>39</v>
      </c>
      <c r="M68" s="32">
        <v>39</v>
      </c>
      <c r="N68" s="21">
        <v>39</v>
      </c>
      <c r="O68" s="67" t="e">
        <f>#REF!+#REF!+#REF!+#REF!+#REF!+#REF!</f>
        <v>#REF!</v>
      </c>
      <c r="P68" s="88">
        <f t="shared" si="0"/>
        <v>0.91428571428571426</v>
      </c>
    </row>
    <row r="69" spans="1:16" x14ac:dyDescent="0.2">
      <c r="A69" s="69">
        <v>65</v>
      </c>
      <c r="B69" s="20" t="s">
        <v>177</v>
      </c>
      <c r="C69" s="75">
        <v>279</v>
      </c>
      <c r="D69" s="20" t="s">
        <v>178</v>
      </c>
      <c r="E69" s="20" t="s">
        <v>179</v>
      </c>
      <c r="F69" s="20" t="s">
        <v>36</v>
      </c>
      <c r="G69" s="119">
        <v>1.0449999999999999</v>
      </c>
      <c r="H69" s="83">
        <f>132/36</f>
        <v>3.6666666666666665</v>
      </c>
      <c r="I69" s="32">
        <v>3</v>
      </c>
      <c r="J69" s="32">
        <v>3</v>
      </c>
      <c r="K69" s="32">
        <v>4</v>
      </c>
      <c r="L69" s="32">
        <v>10</v>
      </c>
      <c r="M69" s="32">
        <v>12</v>
      </c>
      <c r="N69" s="21">
        <v>9</v>
      </c>
      <c r="O69" s="67" t="e">
        <f>#REF!+#REF!+#REF!+#REF!+#REF!+#REF!</f>
        <v>#REF!</v>
      </c>
      <c r="P69" s="88">
        <f t="shared" si="0"/>
        <v>0.9285714285714286</v>
      </c>
    </row>
    <row r="70" spans="1:16" x14ac:dyDescent="0.2">
      <c r="A70" s="69">
        <v>66</v>
      </c>
      <c r="B70" s="29" t="s">
        <v>118</v>
      </c>
      <c r="C70" s="100" t="s">
        <v>257</v>
      </c>
      <c r="D70" s="29" t="s">
        <v>258</v>
      </c>
      <c r="E70" s="29" t="s">
        <v>259</v>
      </c>
      <c r="F70" s="29"/>
      <c r="G70" s="118">
        <v>1.171</v>
      </c>
      <c r="H70" s="83">
        <f>126/34</f>
        <v>3.7058823529411766</v>
      </c>
      <c r="I70" s="32">
        <v>39</v>
      </c>
      <c r="J70" s="32">
        <v>39</v>
      </c>
      <c r="K70" s="32">
        <v>39</v>
      </c>
      <c r="L70" s="32">
        <v>39</v>
      </c>
      <c r="M70" s="32">
        <v>39</v>
      </c>
      <c r="N70" s="21">
        <v>39</v>
      </c>
      <c r="O70" s="67" t="e">
        <f>#REF!+#REF!+#REF!+#REF!+#REF!+#REF!</f>
        <v>#REF!</v>
      </c>
      <c r="P70" s="88">
        <f t="shared" si="0"/>
        <v>0.94285714285714284</v>
      </c>
    </row>
    <row r="71" spans="1:16" x14ac:dyDescent="0.2">
      <c r="A71" s="69">
        <v>67</v>
      </c>
      <c r="B71" s="38" t="s">
        <v>105</v>
      </c>
      <c r="C71" s="117">
        <v>68</v>
      </c>
      <c r="D71" s="39" t="s">
        <v>218</v>
      </c>
      <c r="E71" s="40" t="s">
        <v>219</v>
      </c>
      <c r="F71" s="41"/>
      <c r="G71" s="97">
        <v>1.0900000000000001</v>
      </c>
      <c r="H71" s="83">
        <f>136/36</f>
        <v>3.7777777777777777</v>
      </c>
      <c r="O71" s="67"/>
      <c r="P71" s="88">
        <f>A71/70</f>
        <v>0.95714285714285718</v>
      </c>
    </row>
    <row r="72" spans="1:16" x14ac:dyDescent="0.2">
      <c r="A72" s="69">
        <v>68</v>
      </c>
      <c r="B72" s="20" t="s">
        <v>140</v>
      </c>
      <c r="C72" s="75">
        <v>98</v>
      </c>
      <c r="D72" s="20" t="s">
        <v>260</v>
      </c>
      <c r="E72" s="20" t="s">
        <v>132</v>
      </c>
      <c r="F72" s="20" t="s">
        <v>133</v>
      </c>
      <c r="G72" s="118">
        <v>1.204</v>
      </c>
      <c r="H72" s="83">
        <f>134/34</f>
        <v>3.9411764705882355</v>
      </c>
      <c r="O72" s="67"/>
      <c r="P72" s="88">
        <f>A72/70</f>
        <v>0.97142857142857142</v>
      </c>
    </row>
    <row r="73" spans="1:16" x14ac:dyDescent="0.2">
      <c r="A73" s="69">
        <v>69</v>
      </c>
      <c r="B73" s="20" t="s">
        <v>145</v>
      </c>
      <c r="C73" s="75"/>
      <c r="D73" s="20" t="s">
        <v>220</v>
      </c>
      <c r="E73" s="20" t="s">
        <v>221</v>
      </c>
      <c r="F73" s="20"/>
      <c r="G73" s="118">
        <v>1.054</v>
      </c>
      <c r="H73" s="83">
        <f>142/36</f>
        <v>3.9444444444444446</v>
      </c>
      <c r="O73" s="67"/>
      <c r="P73" s="88">
        <f>A73/70</f>
        <v>0.98571428571428577</v>
      </c>
    </row>
    <row r="74" spans="1:16" x14ac:dyDescent="0.2">
      <c r="A74" s="69">
        <v>70</v>
      </c>
      <c r="B74" s="38" t="s">
        <v>261</v>
      </c>
      <c r="C74" s="117">
        <v>13853</v>
      </c>
      <c r="D74" s="39" t="s">
        <v>262</v>
      </c>
      <c r="E74" s="40" t="s">
        <v>263</v>
      </c>
      <c r="F74" s="41"/>
      <c r="G74" s="118">
        <v>1.216</v>
      </c>
      <c r="H74" s="83">
        <f>136/34</f>
        <v>4</v>
      </c>
      <c r="O74" s="67"/>
      <c r="P74" s="88">
        <f>A74/70</f>
        <v>1</v>
      </c>
    </row>
    <row r="75" spans="1:16" x14ac:dyDescent="0.2">
      <c r="A75" s="69"/>
      <c r="B75" s="38" t="s">
        <v>105</v>
      </c>
      <c r="C75" s="117">
        <v>202</v>
      </c>
      <c r="D75" s="39" t="s">
        <v>115</v>
      </c>
      <c r="E75" s="40" t="s">
        <v>116</v>
      </c>
      <c r="F75" s="41" t="s">
        <v>117</v>
      </c>
      <c r="G75" s="90">
        <v>1.0900000000000001</v>
      </c>
      <c r="H75" s="83" t="s">
        <v>180</v>
      </c>
      <c r="O75" s="67"/>
      <c r="P75" s="88">
        <v>1.5</v>
      </c>
    </row>
    <row r="76" spans="1:16" x14ac:dyDescent="0.2">
      <c r="A76" s="69"/>
      <c r="B76" s="29" t="s">
        <v>105</v>
      </c>
      <c r="C76" s="30" t="s">
        <v>222</v>
      </c>
      <c r="D76" s="29" t="s">
        <v>223</v>
      </c>
      <c r="E76" s="29" t="s">
        <v>224</v>
      </c>
      <c r="F76" s="29"/>
      <c r="G76" s="91">
        <v>1.0900000000000001</v>
      </c>
      <c r="H76" s="83" t="s">
        <v>180</v>
      </c>
      <c r="I76" s="32">
        <v>39</v>
      </c>
      <c r="J76" s="32">
        <v>39</v>
      </c>
      <c r="K76" s="32">
        <v>39</v>
      </c>
      <c r="L76" s="32">
        <v>39</v>
      </c>
      <c r="M76" s="32">
        <v>39</v>
      </c>
      <c r="N76" s="21">
        <v>39</v>
      </c>
      <c r="O76" s="67" t="e">
        <f>#REF!+#REF!+#REF!+#REF!+#REF!+#REF!</f>
        <v>#REF!</v>
      </c>
      <c r="P76" s="88">
        <v>1.5</v>
      </c>
    </row>
    <row r="77" spans="1:16" x14ac:dyDescent="0.2">
      <c r="A77" s="28"/>
      <c r="B77" s="20" t="s">
        <v>264</v>
      </c>
      <c r="C77" s="33">
        <v>9779</v>
      </c>
      <c r="D77" s="20" t="s">
        <v>265</v>
      </c>
      <c r="E77" s="20" t="s">
        <v>87</v>
      </c>
      <c r="F77" s="20"/>
      <c r="G77" s="31"/>
      <c r="H77" s="83" t="s">
        <v>180</v>
      </c>
      <c r="I77" s="115">
        <v>39</v>
      </c>
      <c r="J77" s="115">
        <v>39</v>
      </c>
      <c r="K77" s="115">
        <v>39</v>
      </c>
      <c r="L77" s="115">
        <v>39</v>
      </c>
      <c r="M77" s="115">
        <v>39</v>
      </c>
      <c r="N77" s="115">
        <v>39</v>
      </c>
      <c r="O77" s="116" t="e">
        <f>#REF!+#REF!+#REF!+#REF!+#REF!+#REF!</f>
        <v>#REF!</v>
      </c>
      <c r="P77" s="88">
        <v>1.5</v>
      </c>
    </row>
  </sheetData>
  <sortState ref="B5:P77">
    <sortCondition ref="H5:H7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28"/>
  <sheetViews>
    <sheetView workbookViewId="0"/>
  </sheetViews>
  <sheetFormatPr baseColWidth="10" defaultColWidth="8.83203125" defaultRowHeight="15" x14ac:dyDescent="0.2"/>
  <cols>
    <col min="1" max="1" width="4.6640625" style="1" customWidth="1"/>
    <col min="2" max="2" width="25.6640625" style="1" customWidth="1"/>
    <col min="3" max="3" width="8.6640625" style="1" customWidth="1"/>
    <col min="4" max="6" width="25.6640625" style="1" customWidth="1"/>
    <col min="7" max="7" width="10.6640625" style="1" customWidth="1"/>
    <col min="8" max="12" width="9.6640625" style="2" customWidth="1"/>
    <col min="13" max="15" width="3.6640625" style="2" customWidth="1"/>
    <col min="16" max="17" width="3.6640625" style="2" bestFit="1" customWidth="1"/>
    <col min="18" max="18" width="8.83203125" style="2"/>
    <col min="19" max="16384" width="8.83203125" style="1"/>
  </cols>
  <sheetData>
    <row r="1" spans="1:18" x14ac:dyDescent="0.2">
      <c r="A1" s="21" t="s">
        <v>49</v>
      </c>
      <c r="M1" s="1"/>
      <c r="N1" s="1"/>
      <c r="O1" s="1"/>
      <c r="P1" s="1"/>
      <c r="Q1" s="1"/>
      <c r="R1" s="1"/>
    </row>
    <row r="2" spans="1:18" x14ac:dyDescent="0.2">
      <c r="A2" s="1" t="s">
        <v>14</v>
      </c>
      <c r="M2" s="1"/>
      <c r="N2" s="1"/>
      <c r="O2" s="1"/>
      <c r="P2" s="1"/>
      <c r="Q2" s="1"/>
      <c r="R2" s="1"/>
    </row>
    <row r="3" spans="1:18" ht="16" thickBot="1" x14ac:dyDescent="0.25">
      <c r="M3" s="1"/>
      <c r="N3" s="1"/>
      <c r="O3" s="1"/>
      <c r="P3" s="1"/>
      <c r="Q3" s="1"/>
      <c r="R3" s="1"/>
    </row>
    <row r="4" spans="1:18" ht="16" thickBo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12</v>
      </c>
      <c r="M4" s="1"/>
      <c r="N4" s="1"/>
      <c r="O4" s="1"/>
      <c r="P4" s="1"/>
      <c r="Q4" s="1"/>
      <c r="R4" s="1"/>
    </row>
    <row r="5" spans="1:18" x14ac:dyDescent="0.2">
      <c r="A5" s="87">
        <v>1</v>
      </c>
      <c r="B5" s="38" t="s">
        <v>75</v>
      </c>
      <c r="C5" s="46">
        <v>10070</v>
      </c>
      <c r="D5" s="39" t="s">
        <v>93</v>
      </c>
      <c r="E5" s="40" t="s">
        <v>299</v>
      </c>
      <c r="F5" s="41" t="s">
        <v>25</v>
      </c>
      <c r="G5" s="68">
        <v>1.115</v>
      </c>
      <c r="H5" s="5">
        <v>0.52260416666666665</v>
      </c>
      <c r="I5" s="61">
        <v>0.72576388888888888</v>
      </c>
      <c r="J5" s="5">
        <f t="shared" ref="J5:J25" si="0">I5-H5</f>
        <v>0.20315972222222223</v>
      </c>
      <c r="K5" s="59">
        <f>G5*J5</f>
        <v>0.22652309027777778</v>
      </c>
      <c r="L5" s="84">
        <f>1/44</f>
        <v>2.2727272727272728E-2</v>
      </c>
      <c r="M5" s="1"/>
      <c r="N5" s="1"/>
      <c r="O5" s="1"/>
      <c r="P5" s="1"/>
      <c r="Q5" s="1"/>
      <c r="R5" s="1"/>
    </row>
    <row r="6" spans="1:18" x14ac:dyDescent="0.2">
      <c r="A6" s="11">
        <v>2</v>
      </c>
      <c r="B6" s="20" t="s">
        <v>268</v>
      </c>
      <c r="C6" s="20">
        <v>425</v>
      </c>
      <c r="D6" s="20" t="s">
        <v>269</v>
      </c>
      <c r="E6" s="20" t="s">
        <v>270</v>
      </c>
      <c r="F6" s="28" t="s">
        <v>271</v>
      </c>
      <c r="G6" s="7">
        <v>1.038</v>
      </c>
      <c r="H6" s="14">
        <v>0.50883101851851853</v>
      </c>
      <c r="I6" s="62">
        <v>0.7327893518518519</v>
      </c>
      <c r="J6" s="14">
        <f t="shared" si="0"/>
        <v>0.22395833333333337</v>
      </c>
      <c r="K6" s="60">
        <f t="shared" ref="K6:K25" si="1">G6*J6</f>
        <v>0.23246875000000006</v>
      </c>
      <c r="L6" s="88">
        <f>2/44</f>
        <v>4.5454545454545456E-2</v>
      </c>
      <c r="M6" s="1"/>
      <c r="N6" s="1"/>
      <c r="O6" s="1"/>
      <c r="P6" s="1"/>
      <c r="Q6" s="1"/>
      <c r="R6" s="1"/>
    </row>
    <row r="7" spans="1:18" x14ac:dyDescent="0.2">
      <c r="A7" s="11">
        <v>3</v>
      </c>
      <c r="B7" s="20" t="s">
        <v>159</v>
      </c>
      <c r="C7" s="33">
        <v>33</v>
      </c>
      <c r="D7" s="20" t="s">
        <v>160</v>
      </c>
      <c r="E7" s="20" t="s">
        <v>161</v>
      </c>
      <c r="F7" s="20" t="s">
        <v>66</v>
      </c>
      <c r="G7" s="48">
        <v>1.113</v>
      </c>
      <c r="H7" s="14">
        <v>0.52226851851851852</v>
      </c>
      <c r="I7" s="62">
        <v>0.73400462962962953</v>
      </c>
      <c r="J7" s="14">
        <f t="shared" si="0"/>
        <v>0.21173611111111101</v>
      </c>
      <c r="K7" s="60">
        <f t="shared" si="1"/>
        <v>0.23566229166666655</v>
      </c>
      <c r="L7" s="88">
        <f>3/44</f>
        <v>6.8181818181818177E-2</v>
      </c>
      <c r="M7" s="1"/>
      <c r="N7" s="1"/>
      <c r="O7" s="1"/>
      <c r="P7" s="1"/>
      <c r="Q7" s="1"/>
      <c r="R7" s="1"/>
    </row>
    <row r="8" spans="1:18" x14ac:dyDescent="0.2">
      <c r="A8" s="8">
        <v>4</v>
      </c>
      <c r="B8" s="20" t="s">
        <v>40</v>
      </c>
      <c r="C8" s="73">
        <v>6</v>
      </c>
      <c r="D8" s="20" t="s">
        <v>41</v>
      </c>
      <c r="E8" s="20" t="s">
        <v>42</v>
      </c>
      <c r="F8" s="20" t="s">
        <v>26</v>
      </c>
      <c r="G8" s="72">
        <v>1.091</v>
      </c>
      <c r="H8" s="85">
        <v>0.51851851851851849</v>
      </c>
      <c r="I8" s="86">
        <v>0.73694444444444451</v>
      </c>
      <c r="J8" s="85">
        <f t="shared" si="0"/>
        <v>0.21842592592592602</v>
      </c>
      <c r="K8" s="14">
        <f t="shared" si="1"/>
        <v>0.2383026851851853</v>
      </c>
      <c r="L8" s="88">
        <f>4/44</f>
        <v>9.0909090909090912E-2</v>
      </c>
      <c r="M8" s="1"/>
      <c r="N8" s="1"/>
      <c r="O8" s="1"/>
      <c r="P8" s="1"/>
      <c r="Q8" s="1"/>
      <c r="R8" s="1"/>
    </row>
    <row r="9" spans="1:18" x14ac:dyDescent="0.2">
      <c r="A9" s="11">
        <v>5</v>
      </c>
      <c r="B9" s="20" t="s">
        <v>140</v>
      </c>
      <c r="C9" s="75">
        <v>98</v>
      </c>
      <c r="D9" s="20" t="s">
        <v>260</v>
      </c>
      <c r="E9" s="20" t="s">
        <v>132</v>
      </c>
      <c r="F9" s="20" t="s">
        <v>133</v>
      </c>
      <c r="G9" s="118">
        <v>1.204</v>
      </c>
      <c r="H9" s="14">
        <v>0.5363310185185185</v>
      </c>
      <c r="I9" s="62">
        <v>0.73703703703703705</v>
      </c>
      <c r="J9" s="14">
        <f t="shared" si="0"/>
        <v>0.20070601851851855</v>
      </c>
      <c r="K9" s="14">
        <f t="shared" si="1"/>
        <v>0.24165004629629633</v>
      </c>
      <c r="L9" s="88">
        <f>5/44</f>
        <v>0.11363636363636363</v>
      </c>
      <c r="M9" s="1"/>
      <c r="N9" s="1"/>
      <c r="O9" s="1"/>
      <c r="P9" s="1"/>
      <c r="Q9" s="1"/>
      <c r="R9" s="1"/>
    </row>
    <row r="10" spans="1:18" x14ac:dyDescent="0.2">
      <c r="A10" s="11">
        <v>6</v>
      </c>
      <c r="B10" s="26" t="s">
        <v>272</v>
      </c>
      <c r="C10" s="27" t="s">
        <v>273</v>
      </c>
      <c r="D10" s="26" t="s">
        <v>274</v>
      </c>
      <c r="E10" s="26" t="s">
        <v>275</v>
      </c>
      <c r="F10" s="26" t="s">
        <v>66</v>
      </c>
      <c r="G10" s="16">
        <v>1.036</v>
      </c>
      <c r="H10" s="14">
        <v>0.50843749999999999</v>
      </c>
      <c r="I10" s="62">
        <v>0.73974537037037036</v>
      </c>
      <c r="J10" s="14">
        <f t="shared" si="0"/>
        <v>0.23130787037037037</v>
      </c>
      <c r="K10" s="14">
        <f t="shared" si="1"/>
        <v>0.23963495370370372</v>
      </c>
      <c r="L10" s="88">
        <f>7/44</f>
        <v>0.15909090909090909</v>
      </c>
      <c r="M10" s="1"/>
      <c r="N10" s="1"/>
      <c r="O10" s="1"/>
      <c r="P10" s="1"/>
      <c r="Q10" s="1"/>
      <c r="R10" s="1"/>
    </row>
    <row r="11" spans="1:18" x14ac:dyDescent="0.2">
      <c r="A11" s="11">
        <v>7</v>
      </c>
      <c r="B11" s="20" t="s">
        <v>159</v>
      </c>
      <c r="C11" s="33">
        <v>75</v>
      </c>
      <c r="D11" s="20" t="s">
        <v>174</v>
      </c>
      <c r="E11" s="20" t="s">
        <v>175</v>
      </c>
      <c r="F11" s="20" t="s">
        <v>176</v>
      </c>
      <c r="G11" s="70">
        <v>1.093</v>
      </c>
      <c r="H11" s="14">
        <v>0.51886574074074077</v>
      </c>
      <c r="I11" s="62">
        <v>0.740300925925926</v>
      </c>
      <c r="J11" s="14">
        <f t="shared" si="0"/>
        <v>0.22143518518518523</v>
      </c>
      <c r="K11" s="14">
        <f t="shared" si="1"/>
        <v>0.24202865740740745</v>
      </c>
      <c r="L11" s="88">
        <f>8/44</f>
        <v>0.18181818181818182</v>
      </c>
      <c r="M11" s="1"/>
      <c r="N11" s="1"/>
      <c r="O11" s="1"/>
      <c r="P11" s="1"/>
      <c r="Q11" s="1"/>
      <c r="R11" s="1"/>
    </row>
    <row r="12" spans="1:18" x14ac:dyDescent="0.2">
      <c r="A12" s="11">
        <v>8</v>
      </c>
      <c r="B12" s="20" t="s">
        <v>148</v>
      </c>
      <c r="C12" s="20">
        <v>38</v>
      </c>
      <c r="D12" s="20" t="s">
        <v>276</v>
      </c>
      <c r="E12" s="11" t="s">
        <v>277</v>
      </c>
      <c r="F12" s="11" t="s">
        <v>278</v>
      </c>
      <c r="G12" s="7">
        <v>1.137</v>
      </c>
      <c r="H12" s="14">
        <v>0.52619212962962958</v>
      </c>
      <c r="I12" s="62">
        <v>0.74040509259259257</v>
      </c>
      <c r="J12" s="14">
        <f t="shared" si="0"/>
        <v>0.21421296296296299</v>
      </c>
      <c r="K12" s="14">
        <f t="shared" si="1"/>
        <v>0.24356013888888892</v>
      </c>
      <c r="L12" s="88">
        <f>9/44</f>
        <v>0.20454545454545456</v>
      </c>
      <c r="M12" s="1"/>
      <c r="N12" s="1"/>
      <c r="O12" s="1"/>
      <c r="P12" s="1"/>
      <c r="Q12" s="1"/>
      <c r="R12" s="1"/>
    </row>
    <row r="13" spans="1:18" x14ac:dyDescent="0.2">
      <c r="A13" s="11">
        <v>9</v>
      </c>
      <c r="B13" s="20" t="s">
        <v>145</v>
      </c>
      <c r="C13" s="33">
        <v>57</v>
      </c>
      <c r="D13" s="20" t="s">
        <v>171</v>
      </c>
      <c r="E13" s="20" t="s">
        <v>172</v>
      </c>
      <c r="F13" s="20" t="s">
        <v>173</v>
      </c>
      <c r="G13" s="47">
        <v>1.05</v>
      </c>
      <c r="H13" s="14">
        <v>0.51109953703703703</v>
      </c>
      <c r="I13" s="62">
        <v>0.74069444444444443</v>
      </c>
      <c r="J13" s="14">
        <f t="shared" si="0"/>
        <v>0.2295949074074074</v>
      </c>
      <c r="K13" s="14">
        <f t="shared" si="1"/>
        <v>0.24107465277777779</v>
      </c>
      <c r="L13" s="88">
        <f>10/44</f>
        <v>0.22727272727272727</v>
      </c>
      <c r="M13" s="1"/>
      <c r="N13" s="1"/>
      <c r="O13" s="1"/>
      <c r="P13" s="1"/>
      <c r="Q13" s="1"/>
      <c r="R13" s="1"/>
    </row>
    <row r="14" spans="1:18" x14ac:dyDescent="0.2">
      <c r="A14" s="11">
        <v>10</v>
      </c>
      <c r="B14" s="20" t="s">
        <v>29</v>
      </c>
      <c r="C14" s="33">
        <v>306</v>
      </c>
      <c r="D14" s="20" t="s">
        <v>30</v>
      </c>
      <c r="E14" s="20" t="s">
        <v>31</v>
      </c>
      <c r="F14" s="20" t="s">
        <v>25</v>
      </c>
      <c r="G14" s="70">
        <v>1.0169999999999999</v>
      </c>
      <c r="H14" s="14">
        <v>0.50471064814814814</v>
      </c>
      <c r="I14" s="62">
        <v>0.74159722222222213</v>
      </c>
      <c r="J14" s="14">
        <f>I14-H14</f>
        <v>0.23688657407407399</v>
      </c>
      <c r="K14" s="14">
        <f t="shared" si="1"/>
        <v>0.24091364583333322</v>
      </c>
      <c r="L14" s="88">
        <f>11/44</f>
        <v>0.25</v>
      </c>
      <c r="M14" s="1"/>
      <c r="N14" s="1"/>
      <c r="O14" s="1"/>
      <c r="P14" s="1"/>
      <c r="Q14" s="1"/>
      <c r="R14" s="1"/>
    </row>
    <row r="15" spans="1:18" x14ac:dyDescent="0.2">
      <c r="A15" s="11">
        <v>11</v>
      </c>
      <c r="B15" s="20" t="s">
        <v>35</v>
      </c>
      <c r="C15" s="73">
        <v>39</v>
      </c>
      <c r="D15" s="20" t="s">
        <v>27</v>
      </c>
      <c r="E15" s="20" t="s">
        <v>28</v>
      </c>
      <c r="F15" s="20" t="s">
        <v>36</v>
      </c>
      <c r="G15" s="72">
        <v>1.048</v>
      </c>
      <c r="H15" s="14">
        <v>0.51072916666666668</v>
      </c>
      <c r="I15" s="62">
        <v>0.74192129629629633</v>
      </c>
      <c r="J15" s="14">
        <f t="shared" si="0"/>
        <v>0.23119212962962965</v>
      </c>
      <c r="K15" s="14">
        <f t="shared" si="1"/>
        <v>0.24228935185185188</v>
      </c>
      <c r="L15" s="88">
        <f>12/44</f>
        <v>0.27272727272727271</v>
      </c>
      <c r="M15" s="1"/>
      <c r="N15" s="1"/>
      <c r="O15" s="1"/>
      <c r="P15" s="1"/>
      <c r="Q15" s="1"/>
      <c r="R15" s="1"/>
    </row>
    <row r="16" spans="1:18" x14ac:dyDescent="0.2">
      <c r="A16" s="11">
        <v>12</v>
      </c>
      <c r="B16" s="20" t="s">
        <v>279</v>
      </c>
      <c r="C16" s="20">
        <v>56</v>
      </c>
      <c r="D16" s="20" t="s">
        <v>280</v>
      </c>
      <c r="E16" s="20" t="s">
        <v>281</v>
      </c>
      <c r="F16" s="28" t="s">
        <v>173</v>
      </c>
      <c r="G16" s="16">
        <v>1.0409999999999999</v>
      </c>
      <c r="H16" s="14">
        <v>0.5093981481481481</v>
      </c>
      <c r="I16" s="62">
        <v>0.74255787037037047</v>
      </c>
      <c r="J16" s="14">
        <f t="shared" si="0"/>
        <v>0.23315972222222237</v>
      </c>
      <c r="K16" s="14">
        <f t="shared" si="1"/>
        <v>0.24271927083333347</v>
      </c>
      <c r="L16" s="88">
        <f>13/44</f>
        <v>0.29545454545454547</v>
      </c>
      <c r="M16" s="1"/>
      <c r="N16" s="1"/>
      <c r="O16" s="1"/>
      <c r="P16" s="1"/>
      <c r="Q16" s="1"/>
      <c r="R16" s="1"/>
    </row>
    <row r="17" spans="1:18" x14ac:dyDescent="0.2">
      <c r="A17" s="11">
        <v>13</v>
      </c>
      <c r="B17" s="11" t="s">
        <v>37</v>
      </c>
      <c r="C17" s="74">
        <v>1034</v>
      </c>
      <c r="D17" s="11" t="s">
        <v>38</v>
      </c>
      <c r="E17" s="11" t="s">
        <v>282</v>
      </c>
      <c r="F17" s="11" t="s">
        <v>39</v>
      </c>
      <c r="G17" s="72">
        <v>1.0780000000000001</v>
      </c>
      <c r="H17" s="14">
        <v>0.51622685185185191</v>
      </c>
      <c r="I17" s="62">
        <v>0.74271990740740745</v>
      </c>
      <c r="J17" s="14">
        <f t="shared" si="0"/>
        <v>0.22649305555555554</v>
      </c>
      <c r="K17" s="14">
        <f t="shared" si="1"/>
        <v>0.2441595138888889</v>
      </c>
      <c r="L17" s="88">
        <f>14/44</f>
        <v>0.31818181818181818</v>
      </c>
    </row>
    <row r="18" spans="1:18" x14ac:dyDescent="0.2">
      <c r="A18" s="11">
        <v>14</v>
      </c>
      <c r="B18" s="20" t="s">
        <v>43</v>
      </c>
      <c r="C18" s="20">
        <v>80</v>
      </c>
      <c r="D18" s="20" t="s">
        <v>45</v>
      </c>
      <c r="E18" s="20" t="s">
        <v>44</v>
      </c>
      <c r="F18" s="20" t="s">
        <v>26</v>
      </c>
      <c r="G18" s="72">
        <v>1.125</v>
      </c>
      <c r="H18" s="14">
        <v>0.52425925925925931</v>
      </c>
      <c r="I18" s="62">
        <v>0.74342592592592593</v>
      </c>
      <c r="J18" s="14">
        <f t="shared" si="0"/>
        <v>0.21916666666666662</v>
      </c>
      <c r="K18" s="14">
        <f t="shared" si="1"/>
        <v>0.24656249999999996</v>
      </c>
      <c r="L18" s="88">
        <f>15/44</f>
        <v>0.34090909090909088</v>
      </c>
    </row>
    <row r="19" spans="1:18" x14ac:dyDescent="0.2">
      <c r="A19" s="11">
        <v>15</v>
      </c>
      <c r="B19" s="108" t="s">
        <v>145</v>
      </c>
      <c r="C19" s="109">
        <v>393</v>
      </c>
      <c r="D19" s="110" t="s">
        <v>210</v>
      </c>
      <c r="E19" s="111" t="s">
        <v>211</v>
      </c>
      <c r="F19" s="112" t="s">
        <v>36</v>
      </c>
      <c r="G19" s="70">
        <v>1.018</v>
      </c>
      <c r="H19" s="14">
        <v>0.50490740740740747</v>
      </c>
      <c r="I19" s="62">
        <v>0.74371527777777768</v>
      </c>
      <c r="J19" s="14">
        <f t="shared" si="0"/>
        <v>0.23880787037037021</v>
      </c>
      <c r="K19" s="14">
        <f t="shared" si="1"/>
        <v>0.24310641203703687</v>
      </c>
      <c r="L19" s="88">
        <f>17/44</f>
        <v>0.38636363636363635</v>
      </c>
    </row>
    <row r="20" spans="1:18" x14ac:dyDescent="0.2">
      <c r="A20" s="11">
        <v>16</v>
      </c>
      <c r="B20" s="11" t="s">
        <v>283</v>
      </c>
      <c r="C20" s="74">
        <v>84</v>
      </c>
      <c r="D20" s="11" t="s">
        <v>284</v>
      </c>
      <c r="E20" s="11" t="s">
        <v>285</v>
      </c>
      <c r="F20" s="11" t="s">
        <v>286</v>
      </c>
      <c r="G20" s="72">
        <v>1.0620000000000001</v>
      </c>
      <c r="H20" s="14">
        <v>0.51333333333333331</v>
      </c>
      <c r="I20" s="62">
        <v>0.74386574074074074</v>
      </c>
      <c r="J20" s="14">
        <f t="shared" si="0"/>
        <v>0.23053240740740744</v>
      </c>
      <c r="K20" s="14">
        <f t="shared" si="1"/>
        <v>0.24482541666666671</v>
      </c>
      <c r="L20" s="88">
        <f>18/44</f>
        <v>0.40909090909090912</v>
      </c>
    </row>
    <row r="21" spans="1:18" x14ac:dyDescent="0.2">
      <c r="A21" s="11">
        <v>17</v>
      </c>
      <c r="B21" s="38" t="s">
        <v>168</v>
      </c>
      <c r="C21" s="46">
        <v>11131</v>
      </c>
      <c r="D21" s="39" t="s">
        <v>169</v>
      </c>
      <c r="E21" s="40" t="s">
        <v>170</v>
      </c>
      <c r="F21" s="41" t="s">
        <v>66</v>
      </c>
      <c r="G21" s="70">
        <v>1.085</v>
      </c>
      <c r="H21" s="14">
        <v>0.51746527777777784</v>
      </c>
      <c r="I21" s="62">
        <v>0.74403935185185188</v>
      </c>
      <c r="J21" s="14">
        <f t="shared" si="0"/>
        <v>0.22657407407407404</v>
      </c>
      <c r="K21" s="14">
        <f t="shared" si="1"/>
        <v>0.24583287037037033</v>
      </c>
      <c r="L21" s="88">
        <f>19/44</f>
        <v>0.43181818181818182</v>
      </c>
    </row>
    <row r="22" spans="1:18" s="9" customFormat="1" x14ac:dyDescent="0.2">
      <c r="A22" s="11">
        <v>18</v>
      </c>
      <c r="B22" s="29" t="s">
        <v>112</v>
      </c>
      <c r="C22" s="30" t="s">
        <v>205</v>
      </c>
      <c r="D22" s="29" t="s">
        <v>206</v>
      </c>
      <c r="E22" s="29" t="s">
        <v>207</v>
      </c>
      <c r="F22" s="29" t="s">
        <v>66</v>
      </c>
      <c r="G22" s="70">
        <v>1.0580000000000001</v>
      </c>
      <c r="H22" s="14">
        <v>0.5125925925925926</v>
      </c>
      <c r="I22" s="62">
        <v>0.74430555555555555</v>
      </c>
      <c r="J22" s="14">
        <f t="shared" si="0"/>
        <v>0.23171296296296295</v>
      </c>
      <c r="K22" s="14">
        <f t="shared" si="1"/>
        <v>0.24515231481481481</v>
      </c>
      <c r="L22" s="88">
        <f>21/44</f>
        <v>0.47727272727272729</v>
      </c>
      <c r="M22" s="10"/>
      <c r="N22" s="10"/>
      <c r="O22" s="10"/>
      <c r="P22" s="10"/>
      <c r="Q22" s="10"/>
      <c r="R22" s="10"/>
    </row>
    <row r="23" spans="1:18" s="9" customFormat="1" x14ac:dyDescent="0.2">
      <c r="A23" s="11">
        <v>19</v>
      </c>
      <c r="B23" s="29" t="s">
        <v>51</v>
      </c>
      <c r="C23" s="30" t="s">
        <v>287</v>
      </c>
      <c r="D23" s="29" t="s">
        <v>288</v>
      </c>
      <c r="E23" s="29" t="s">
        <v>289</v>
      </c>
      <c r="F23" s="29" t="s">
        <v>133</v>
      </c>
      <c r="G23" s="70">
        <v>1.0289999999999999</v>
      </c>
      <c r="H23" s="14">
        <v>0.50708333333333333</v>
      </c>
      <c r="I23" s="62">
        <v>0.74700231481481483</v>
      </c>
      <c r="J23" s="14">
        <f t="shared" si="0"/>
        <v>0.2399189814814815</v>
      </c>
      <c r="K23" s="14">
        <f t="shared" si="1"/>
        <v>0.24687663194444445</v>
      </c>
      <c r="L23" s="88">
        <f>24/44</f>
        <v>0.54545454545454541</v>
      </c>
      <c r="M23" s="10"/>
      <c r="N23" s="10"/>
      <c r="O23" s="10"/>
      <c r="P23" s="10"/>
      <c r="Q23" s="10"/>
      <c r="R23" s="10"/>
    </row>
    <row r="24" spans="1:18" s="9" customFormat="1" x14ac:dyDescent="0.2">
      <c r="A24" s="11">
        <v>20</v>
      </c>
      <c r="B24" s="20" t="s">
        <v>177</v>
      </c>
      <c r="C24" s="75">
        <v>279</v>
      </c>
      <c r="D24" s="20" t="s">
        <v>178</v>
      </c>
      <c r="E24" s="20" t="s">
        <v>179</v>
      </c>
      <c r="F24" s="20" t="s">
        <v>36</v>
      </c>
      <c r="G24" s="119">
        <v>1.0449999999999999</v>
      </c>
      <c r="H24" s="14">
        <v>0.51016203703703711</v>
      </c>
      <c r="I24" s="62">
        <v>0.74988425925925928</v>
      </c>
      <c r="J24" s="14">
        <f t="shared" si="0"/>
        <v>0.23972222222222217</v>
      </c>
      <c r="K24" s="14">
        <f t="shared" si="1"/>
        <v>0.25050972222222218</v>
      </c>
      <c r="L24" s="88">
        <f>28/44</f>
        <v>0.63636363636363635</v>
      </c>
      <c r="M24" s="10"/>
      <c r="N24" s="10"/>
      <c r="O24" s="10"/>
      <c r="P24" s="10"/>
      <c r="Q24" s="10"/>
      <c r="R24" s="10"/>
    </row>
    <row r="25" spans="1:18" s="9" customFormat="1" x14ac:dyDescent="0.2">
      <c r="A25" s="11">
        <v>21</v>
      </c>
      <c r="B25" s="20" t="s">
        <v>71</v>
      </c>
      <c r="C25" s="73">
        <v>29</v>
      </c>
      <c r="D25" s="20" t="s">
        <v>72</v>
      </c>
      <c r="E25" s="20" t="s">
        <v>290</v>
      </c>
      <c r="F25" s="20" t="s">
        <v>73</v>
      </c>
      <c r="G25" s="72">
        <v>1.056</v>
      </c>
      <c r="H25" s="14">
        <v>0.51222222222222225</v>
      </c>
      <c r="I25" s="62">
        <v>0.7522106481481482</v>
      </c>
      <c r="J25" s="14">
        <f t="shared" si="0"/>
        <v>0.23998842592592595</v>
      </c>
      <c r="K25" s="14">
        <f t="shared" si="1"/>
        <v>0.25342777777777781</v>
      </c>
      <c r="L25" s="88">
        <f>29/44</f>
        <v>0.65909090909090906</v>
      </c>
      <c r="M25" s="10"/>
      <c r="N25" s="10"/>
      <c r="O25" s="10"/>
      <c r="P25" s="10"/>
      <c r="Q25" s="10"/>
      <c r="R25" s="10"/>
    </row>
    <row r="26" spans="1:18" s="9" customFormat="1" x14ac:dyDescent="0.2">
      <c r="A26" s="11"/>
      <c r="B26" s="29" t="s">
        <v>51</v>
      </c>
      <c r="C26" s="30" t="s">
        <v>291</v>
      </c>
      <c r="D26" s="29" t="s">
        <v>292</v>
      </c>
      <c r="E26" s="29" t="s">
        <v>293</v>
      </c>
      <c r="F26" s="29" t="s">
        <v>66</v>
      </c>
      <c r="G26" s="70">
        <v>1.0289999999999999</v>
      </c>
      <c r="H26" s="14">
        <v>0.50708333333333333</v>
      </c>
      <c r="I26" s="62" t="s">
        <v>180</v>
      </c>
      <c r="J26" s="14"/>
      <c r="K26" s="14"/>
      <c r="L26" s="88">
        <v>1.5</v>
      </c>
      <c r="M26" s="10"/>
      <c r="N26" s="10"/>
      <c r="O26" s="10"/>
      <c r="P26" s="10"/>
      <c r="Q26" s="10"/>
      <c r="R26" s="10"/>
    </row>
    <row r="27" spans="1:18" s="9" customFormat="1" x14ac:dyDescent="0.2">
      <c r="A27" s="11"/>
      <c r="B27" s="29" t="s">
        <v>177</v>
      </c>
      <c r="C27" s="30" t="s">
        <v>294</v>
      </c>
      <c r="D27" s="29" t="s">
        <v>295</v>
      </c>
      <c r="E27" s="29" t="s">
        <v>296</v>
      </c>
      <c r="F27" s="29" t="s">
        <v>133</v>
      </c>
      <c r="G27" s="47">
        <v>1.048</v>
      </c>
      <c r="H27" s="14">
        <v>0.51072916666666668</v>
      </c>
      <c r="I27" s="62" t="s">
        <v>297</v>
      </c>
      <c r="J27" s="14"/>
      <c r="K27" s="14"/>
      <c r="L27" s="88">
        <f>45/44</f>
        <v>1.0227272727272727</v>
      </c>
      <c r="M27" s="10"/>
      <c r="N27" s="10"/>
      <c r="O27" s="10"/>
      <c r="P27" s="10"/>
      <c r="Q27" s="10"/>
      <c r="R27" s="10"/>
    </row>
    <row r="28" spans="1:18" x14ac:dyDescent="0.2">
      <c r="L28" s="94"/>
    </row>
  </sheetData>
  <sortState ref="A5:K28">
    <sortCondition ref="A5:A28"/>
  </sortState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/>
  </sheetViews>
  <sheetFormatPr baseColWidth="10" defaultColWidth="8.83203125" defaultRowHeight="15" x14ac:dyDescent="0.2"/>
  <cols>
    <col min="1" max="1" width="4.6640625" style="1" customWidth="1"/>
    <col min="2" max="2" width="25.6640625" style="1" customWidth="1"/>
    <col min="3" max="3" width="8.6640625" style="1" customWidth="1"/>
    <col min="4" max="6" width="25.6640625" style="1" customWidth="1"/>
    <col min="7" max="7" width="10.6640625" style="6" customWidth="1"/>
    <col min="8" max="8" width="9.6640625" style="23" customWidth="1"/>
    <col min="9" max="9" width="9.6640625" style="2" customWidth="1"/>
    <col min="10" max="10" width="9.83203125" style="2" customWidth="1"/>
    <col min="11" max="12" width="3.6640625" style="2" customWidth="1"/>
    <col min="13" max="13" width="4" style="2" bestFit="1" customWidth="1"/>
    <col min="14" max="14" width="3.6640625" style="2" bestFit="1" customWidth="1"/>
    <col min="15" max="15" width="8.83203125" style="2"/>
    <col min="16" max="16384" width="8.83203125" style="1"/>
  </cols>
  <sheetData>
    <row r="1" spans="1:16" x14ac:dyDescent="0.2">
      <c r="A1" s="21" t="s">
        <v>49</v>
      </c>
    </row>
    <row r="2" spans="1:16" x14ac:dyDescent="0.2">
      <c r="A2" s="1" t="s">
        <v>46</v>
      </c>
    </row>
    <row r="3" spans="1:16" ht="16" thickBot="1" x14ac:dyDescent="0.25"/>
    <row r="4" spans="1:16" ht="16" thickBo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20</v>
      </c>
      <c r="H4" s="13" t="s">
        <v>23</v>
      </c>
      <c r="I4" s="4" t="s">
        <v>24</v>
      </c>
      <c r="J4" s="4" t="s">
        <v>12</v>
      </c>
    </row>
    <row r="5" spans="1:16" s="9" customFormat="1" x14ac:dyDescent="0.2">
      <c r="A5" s="12">
        <v>1</v>
      </c>
      <c r="B5" s="29" t="s">
        <v>134</v>
      </c>
      <c r="C5" s="30">
        <v>11</v>
      </c>
      <c r="D5" s="29" t="s">
        <v>135</v>
      </c>
      <c r="E5" s="29" t="s">
        <v>136</v>
      </c>
      <c r="F5" s="29" t="s">
        <v>137</v>
      </c>
      <c r="G5" s="121">
        <v>1.042</v>
      </c>
      <c r="H5" s="106" t="s">
        <v>336</v>
      </c>
      <c r="I5" s="133">
        <f t="shared" ref="I5:I11" si="0">G5*H5</f>
        <v>0.43674754629629636</v>
      </c>
      <c r="J5" s="88">
        <f>1/8</f>
        <v>0.125</v>
      </c>
      <c r="K5" s="10"/>
      <c r="L5" s="10"/>
      <c r="M5" s="10"/>
      <c r="N5" s="10"/>
      <c r="O5" s="104"/>
      <c r="P5" s="105"/>
    </row>
    <row r="6" spans="1:16" s="9" customFormat="1" x14ac:dyDescent="0.2">
      <c r="A6" s="12">
        <v>2</v>
      </c>
      <c r="B6" s="20" t="s">
        <v>67</v>
      </c>
      <c r="C6" s="73">
        <v>3</v>
      </c>
      <c r="D6" s="20" t="s">
        <v>68</v>
      </c>
      <c r="E6" s="20" t="s">
        <v>69</v>
      </c>
      <c r="F6" s="20" t="s">
        <v>26</v>
      </c>
      <c r="G6" s="102">
        <v>1.0109999999999999</v>
      </c>
      <c r="H6" s="107" t="s">
        <v>337</v>
      </c>
      <c r="I6" s="132">
        <f t="shared" si="0"/>
        <v>0.45074920138888885</v>
      </c>
      <c r="J6" s="88">
        <f>3/8</f>
        <v>0.375</v>
      </c>
      <c r="K6" s="10"/>
      <c r="L6" s="10"/>
      <c r="M6" s="10"/>
      <c r="N6" s="10"/>
      <c r="O6" s="104"/>
      <c r="P6" s="105"/>
    </row>
    <row r="7" spans="1:16" s="9" customFormat="1" x14ac:dyDescent="0.2">
      <c r="A7" s="12">
        <v>3</v>
      </c>
      <c r="B7" s="71" t="s">
        <v>108</v>
      </c>
      <c r="C7" s="89">
        <v>69</v>
      </c>
      <c r="D7" s="71" t="s">
        <v>109</v>
      </c>
      <c r="E7" s="71" t="s">
        <v>110</v>
      </c>
      <c r="F7" s="71" t="s">
        <v>111</v>
      </c>
      <c r="G7" s="103">
        <v>1.1299999999999999</v>
      </c>
      <c r="H7" s="107" t="s">
        <v>338</v>
      </c>
      <c r="I7" s="132">
        <f t="shared" si="0"/>
        <v>0.46271145833333327</v>
      </c>
      <c r="J7" s="88">
        <f>4/8</f>
        <v>0.5</v>
      </c>
      <c r="K7" s="10"/>
      <c r="L7" s="10"/>
      <c r="M7" s="10"/>
      <c r="N7" s="10"/>
      <c r="O7" s="104"/>
      <c r="P7" s="105"/>
    </row>
    <row r="8" spans="1:16" s="9" customFormat="1" x14ac:dyDescent="0.2">
      <c r="A8" s="12">
        <v>4</v>
      </c>
      <c r="B8" s="20" t="s">
        <v>43</v>
      </c>
      <c r="C8" s="20">
        <v>80</v>
      </c>
      <c r="D8" s="20" t="s">
        <v>45</v>
      </c>
      <c r="E8" s="20" t="s">
        <v>44</v>
      </c>
      <c r="F8" s="20" t="s">
        <v>26</v>
      </c>
      <c r="G8" s="102">
        <v>1.127</v>
      </c>
      <c r="H8" s="107" t="s">
        <v>339</v>
      </c>
      <c r="I8" s="132">
        <f t="shared" si="0"/>
        <v>0.4636483217592593</v>
      </c>
      <c r="J8" s="88">
        <f>5/8</f>
        <v>0.625</v>
      </c>
      <c r="K8" s="10"/>
      <c r="L8" s="10"/>
      <c r="M8" s="10"/>
      <c r="N8" s="10"/>
      <c r="O8" s="104"/>
      <c r="P8" s="105"/>
    </row>
    <row r="9" spans="1:16" s="9" customFormat="1" x14ac:dyDescent="0.2">
      <c r="A9" s="12">
        <v>5</v>
      </c>
      <c r="B9" s="11" t="s">
        <v>37</v>
      </c>
      <c r="C9" s="11">
        <v>1034</v>
      </c>
      <c r="D9" s="11" t="s">
        <v>38</v>
      </c>
      <c r="E9" s="11" t="s">
        <v>319</v>
      </c>
      <c r="F9" s="11" t="s">
        <v>39</v>
      </c>
      <c r="G9" s="102">
        <v>1.0780000000000001</v>
      </c>
      <c r="H9" s="107" t="s">
        <v>340</v>
      </c>
      <c r="I9" s="132">
        <f t="shared" si="0"/>
        <v>0.46940412037037038</v>
      </c>
      <c r="J9" s="88">
        <f>6/8</f>
        <v>0.75</v>
      </c>
      <c r="K9" s="10"/>
      <c r="L9" s="10"/>
      <c r="M9" s="10"/>
      <c r="N9" s="10"/>
      <c r="O9" s="104"/>
      <c r="P9" s="105"/>
    </row>
    <row r="10" spans="1:16" s="9" customFormat="1" x14ac:dyDescent="0.2">
      <c r="A10" s="12">
        <v>6</v>
      </c>
      <c r="B10" s="38" t="s">
        <v>168</v>
      </c>
      <c r="C10" s="46">
        <v>11131</v>
      </c>
      <c r="D10" s="39" t="s">
        <v>169</v>
      </c>
      <c r="E10" s="40" t="s">
        <v>170</v>
      </c>
      <c r="F10" s="41" t="s">
        <v>66</v>
      </c>
      <c r="G10" s="102">
        <v>1.085</v>
      </c>
      <c r="H10" s="107" t="s">
        <v>341</v>
      </c>
      <c r="I10" s="132">
        <f t="shared" si="0"/>
        <v>0.46943831018518517</v>
      </c>
      <c r="J10" s="88">
        <f>7/8</f>
        <v>0.875</v>
      </c>
      <c r="K10" s="10"/>
      <c r="L10" s="10"/>
      <c r="M10" s="10"/>
      <c r="N10" s="10"/>
      <c r="O10" s="104"/>
      <c r="P10" s="105"/>
    </row>
    <row r="11" spans="1:16" s="9" customFormat="1" x14ac:dyDescent="0.2">
      <c r="A11" s="12">
        <v>7</v>
      </c>
      <c r="B11" s="20" t="s">
        <v>162</v>
      </c>
      <c r="C11" s="33">
        <v>10008</v>
      </c>
      <c r="D11" s="20" t="s">
        <v>163</v>
      </c>
      <c r="E11" s="20" t="s">
        <v>164</v>
      </c>
      <c r="F11" s="20" t="s">
        <v>165</v>
      </c>
      <c r="G11" s="102">
        <v>1.4139999999999999</v>
      </c>
      <c r="H11" s="107" t="s">
        <v>342</v>
      </c>
      <c r="I11" s="132">
        <f t="shared" si="0"/>
        <v>0.48350944444444444</v>
      </c>
      <c r="J11" s="88">
        <f>8/8</f>
        <v>1</v>
      </c>
      <c r="K11" s="10"/>
      <c r="L11" s="10"/>
      <c r="M11" s="10"/>
      <c r="N11" s="10"/>
      <c r="O11" s="104"/>
      <c r="P11" s="105"/>
    </row>
    <row r="12" spans="1:16" s="2" customFormat="1" x14ac:dyDescent="0.2">
      <c r="A12" s="78"/>
      <c r="B12" s="78"/>
      <c r="C12" s="78"/>
      <c r="D12" s="78"/>
      <c r="E12" s="78"/>
      <c r="F12" s="78"/>
      <c r="G12" s="79"/>
      <c r="H12" s="79"/>
      <c r="I12" s="78"/>
      <c r="J12" s="78"/>
    </row>
  </sheetData>
  <sortState ref="B5:J14">
    <sortCondition ref="J5:J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baseColWidth="10" defaultColWidth="8.83203125" defaultRowHeight="15" x14ac:dyDescent="0.2"/>
  <cols>
    <col min="1" max="1" width="4.6640625" style="1" customWidth="1"/>
    <col min="2" max="2" width="25.6640625" style="1" customWidth="1"/>
    <col min="3" max="3" width="8.6640625" style="1" customWidth="1"/>
    <col min="4" max="4" width="25.6640625" style="21" customWidth="1"/>
    <col min="5" max="6" width="25.6640625" style="1" customWidth="1"/>
    <col min="7" max="7" width="10.6640625" style="1" customWidth="1"/>
    <col min="8" max="10" width="9.6640625" style="2" customWidth="1"/>
    <col min="11" max="11" width="9.6640625" style="10" customWidth="1"/>
    <col min="12" max="12" width="9.6640625" style="2" customWidth="1"/>
    <col min="13" max="13" width="3.6640625" style="1" customWidth="1"/>
    <col min="14" max="15" width="3.6640625" style="1" bestFit="1" customWidth="1"/>
    <col min="16" max="16384" width="8.83203125" style="1"/>
  </cols>
  <sheetData>
    <row r="1" spans="1:12" x14ac:dyDescent="0.2">
      <c r="A1" s="21" t="s">
        <v>49</v>
      </c>
    </row>
    <row r="2" spans="1:12" x14ac:dyDescent="0.2">
      <c r="A2" s="1" t="s">
        <v>18</v>
      </c>
    </row>
    <row r="3" spans="1:12" ht="16" thickBot="1" x14ac:dyDescent="0.25"/>
    <row r="4" spans="1:12" ht="16" thickBot="1" x14ac:dyDescent="0.25">
      <c r="A4" s="95" t="s">
        <v>0</v>
      </c>
      <c r="B4" s="95" t="s">
        <v>1</v>
      </c>
      <c r="C4" s="95" t="s">
        <v>2</v>
      </c>
      <c r="D4" s="50" t="s">
        <v>3</v>
      </c>
      <c r="E4" s="95" t="s">
        <v>4</v>
      </c>
      <c r="F4" s="95" t="s">
        <v>5</v>
      </c>
      <c r="G4" s="13" t="s">
        <v>20</v>
      </c>
      <c r="H4" s="4" t="s">
        <v>21</v>
      </c>
      <c r="I4" s="4" t="s">
        <v>22</v>
      </c>
      <c r="J4" s="4" t="s">
        <v>23</v>
      </c>
      <c r="K4" s="4" t="s">
        <v>24</v>
      </c>
      <c r="L4" s="4" t="s">
        <v>12</v>
      </c>
    </row>
    <row r="5" spans="1:12" x14ac:dyDescent="0.2">
      <c r="A5" s="52">
        <v>1</v>
      </c>
      <c r="B5" s="101" t="s">
        <v>134</v>
      </c>
      <c r="C5" s="122">
        <v>11</v>
      </c>
      <c r="D5" s="101" t="s">
        <v>135</v>
      </c>
      <c r="E5" s="101" t="s">
        <v>136</v>
      </c>
      <c r="F5" s="101" t="s">
        <v>137</v>
      </c>
      <c r="G5" s="123">
        <v>1.042</v>
      </c>
      <c r="H5" s="85">
        <v>0.55942129629629633</v>
      </c>
      <c r="I5" s="124">
        <v>0.68166666666666664</v>
      </c>
      <c r="J5" s="85">
        <f t="shared" ref="J5:J26" si="0">I5-H5</f>
        <v>0.12224537037037031</v>
      </c>
      <c r="K5" s="125">
        <f t="shared" ref="K5:K26" si="1">G5*J5</f>
        <v>0.12737967592592586</v>
      </c>
      <c r="L5" s="126">
        <f>1/40</f>
        <v>2.5000000000000001E-2</v>
      </c>
    </row>
    <row r="6" spans="1:12" x14ac:dyDescent="0.2">
      <c r="A6" s="20">
        <v>2</v>
      </c>
      <c r="B6" s="20" t="s">
        <v>268</v>
      </c>
      <c r="C6" s="33">
        <v>536</v>
      </c>
      <c r="D6" s="20" t="s">
        <v>332</v>
      </c>
      <c r="E6" s="20" t="s">
        <v>314</v>
      </c>
      <c r="F6" s="20" t="s">
        <v>66</v>
      </c>
      <c r="G6" s="47">
        <v>1.038</v>
      </c>
      <c r="H6" s="14">
        <v>0.55942129629629633</v>
      </c>
      <c r="I6" s="19">
        <v>0.68283564814814823</v>
      </c>
      <c r="J6" s="14">
        <f t="shared" si="0"/>
        <v>0.1234143518518519</v>
      </c>
      <c r="K6" s="96">
        <f t="shared" si="1"/>
        <v>0.12810409722222227</v>
      </c>
      <c r="L6" s="31">
        <f>3/40</f>
        <v>7.4999999999999997E-2</v>
      </c>
    </row>
    <row r="7" spans="1:12" x14ac:dyDescent="0.2">
      <c r="A7" s="20">
        <v>3</v>
      </c>
      <c r="B7" s="26" t="s">
        <v>168</v>
      </c>
      <c r="C7" s="27" t="s">
        <v>300</v>
      </c>
      <c r="D7" s="26" t="s">
        <v>301</v>
      </c>
      <c r="E7" s="26" t="s">
        <v>170</v>
      </c>
      <c r="F7" s="26" t="s">
        <v>66</v>
      </c>
      <c r="G7" s="7">
        <v>1.085</v>
      </c>
      <c r="H7" s="14">
        <v>0.56473379629629628</v>
      </c>
      <c r="I7" s="19">
        <v>0.68671296296296302</v>
      </c>
      <c r="J7" s="14">
        <f t="shared" si="0"/>
        <v>0.12197916666666675</v>
      </c>
      <c r="K7" s="96">
        <f t="shared" si="1"/>
        <v>0.13234739583333341</v>
      </c>
      <c r="L7" s="31">
        <f>4/40</f>
        <v>0.1</v>
      </c>
    </row>
    <row r="8" spans="1:12" x14ac:dyDescent="0.2">
      <c r="A8" s="20">
        <v>4</v>
      </c>
      <c r="B8" s="20" t="s">
        <v>75</v>
      </c>
      <c r="C8" s="20">
        <v>10070</v>
      </c>
      <c r="D8" s="20" t="s">
        <v>93</v>
      </c>
      <c r="E8" s="40" t="s">
        <v>299</v>
      </c>
      <c r="F8" s="20" t="s">
        <v>25</v>
      </c>
      <c r="G8" s="7">
        <v>1.1060000000000001</v>
      </c>
      <c r="H8" s="14">
        <v>0.56695601851851851</v>
      </c>
      <c r="I8" s="19">
        <v>0.68695601851851851</v>
      </c>
      <c r="J8" s="14">
        <f t="shared" si="0"/>
        <v>0.12</v>
      </c>
      <c r="K8" s="96">
        <f t="shared" si="1"/>
        <v>0.13272</v>
      </c>
      <c r="L8" s="31">
        <f>5/40</f>
        <v>0.125</v>
      </c>
    </row>
    <row r="9" spans="1:12" x14ac:dyDescent="0.2">
      <c r="A9" s="20">
        <v>5</v>
      </c>
      <c r="B9" s="20" t="s">
        <v>322</v>
      </c>
      <c r="C9" s="33">
        <v>1</v>
      </c>
      <c r="D9" s="20" t="s">
        <v>274</v>
      </c>
      <c r="E9" s="20" t="s">
        <v>304</v>
      </c>
      <c r="F9" s="20" t="s">
        <v>173</v>
      </c>
      <c r="G9" s="47">
        <v>1.1060000000000001</v>
      </c>
      <c r="H9" s="14">
        <v>0.56695601851851851</v>
      </c>
      <c r="I9" s="19">
        <v>0.68842592592592589</v>
      </c>
      <c r="J9" s="14">
        <f t="shared" si="0"/>
        <v>0.12146990740740737</v>
      </c>
      <c r="K9" s="96">
        <f t="shared" si="1"/>
        <v>0.13434571759259256</v>
      </c>
      <c r="L9" s="31">
        <f>7/40</f>
        <v>0.17499999999999999</v>
      </c>
    </row>
    <row r="10" spans="1:12" x14ac:dyDescent="0.2">
      <c r="A10" s="20">
        <v>6</v>
      </c>
      <c r="B10" s="20" t="s">
        <v>51</v>
      </c>
      <c r="C10" s="33">
        <v>586</v>
      </c>
      <c r="D10" s="20" t="s">
        <v>52</v>
      </c>
      <c r="E10" s="20" t="s">
        <v>53</v>
      </c>
      <c r="F10" s="20" t="s">
        <v>26</v>
      </c>
      <c r="G10" s="47">
        <v>1.0169999999999999</v>
      </c>
      <c r="H10" s="14">
        <v>0.5562731481481481</v>
      </c>
      <c r="I10" s="19">
        <v>0.68863425925925925</v>
      </c>
      <c r="J10" s="14">
        <f t="shared" si="0"/>
        <v>0.13236111111111115</v>
      </c>
      <c r="K10" s="96">
        <f t="shared" si="1"/>
        <v>0.13461125000000002</v>
      </c>
      <c r="L10" s="31">
        <f>8/40</f>
        <v>0.2</v>
      </c>
    </row>
    <row r="11" spans="1:12" x14ac:dyDescent="0.2">
      <c r="A11" s="20">
        <v>7</v>
      </c>
      <c r="B11" s="29" t="s">
        <v>311</v>
      </c>
      <c r="C11" s="30" t="s">
        <v>323</v>
      </c>
      <c r="D11" s="29" t="s">
        <v>333</v>
      </c>
      <c r="E11" s="29" t="s">
        <v>325</v>
      </c>
      <c r="F11" s="29" t="s">
        <v>324</v>
      </c>
      <c r="G11" s="47">
        <v>1.1060000000000001</v>
      </c>
      <c r="H11" s="14">
        <v>0.56695601851851851</v>
      </c>
      <c r="I11" s="19">
        <v>0.68876157407407401</v>
      </c>
      <c r="J11" s="14">
        <f t="shared" si="0"/>
        <v>0.1218055555555555</v>
      </c>
      <c r="K11" s="96">
        <f t="shared" si="1"/>
        <v>0.1347169444444444</v>
      </c>
      <c r="L11" s="31">
        <f>9/40</f>
        <v>0.22500000000000001</v>
      </c>
    </row>
    <row r="12" spans="1:12" x14ac:dyDescent="0.2">
      <c r="A12" s="20">
        <v>8</v>
      </c>
      <c r="B12" s="20" t="s">
        <v>29</v>
      </c>
      <c r="C12" s="33">
        <v>306</v>
      </c>
      <c r="D12" s="20" t="s">
        <v>30</v>
      </c>
      <c r="E12" s="20" t="s">
        <v>31</v>
      </c>
      <c r="F12" s="20" t="s">
        <v>25</v>
      </c>
      <c r="G12" s="47">
        <v>1.0169999999999999</v>
      </c>
      <c r="H12" s="14">
        <v>0.5562731481481481</v>
      </c>
      <c r="I12" s="19">
        <v>0.68956018518518514</v>
      </c>
      <c r="J12" s="14">
        <f t="shared" si="0"/>
        <v>0.13328703703703704</v>
      </c>
      <c r="K12" s="96">
        <f t="shared" si="1"/>
        <v>0.13555291666666666</v>
      </c>
      <c r="L12" s="31">
        <f>10/40</f>
        <v>0.25</v>
      </c>
    </row>
    <row r="13" spans="1:12" x14ac:dyDescent="0.2">
      <c r="A13" s="20">
        <v>9</v>
      </c>
      <c r="B13" s="20" t="s">
        <v>159</v>
      </c>
      <c r="C13" s="33">
        <v>33</v>
      </c>
      <c r="D13" s="20" t="s">
        <v>160</v>
      </c>
      <c r="E13" s="20" t="s">
        <v>161</v>
      </c>
      <c r="F13" s="20" t="s">
        <v>66</v>
      </c>
      <c r="G13" s="47">
        <v>1.113</v>
      </c>
      <c r="H13" s="14">
        <v>0.56803240740740735</v>
      </c>
      <c r="I13" s="19">
        <v>0.68973379629629628</v>
      </c>
      <c r="J13" s="14">
        <f t="shared" si="0"/>
        <v>0.12170138888888893</v>
      </c>
      <c r="K13" s="96">
        <f t="shared" si="1"/>
        <v>0.13545364583333339</v>
      </c>
      <c r="L13" s="31">
        <f>12/40</f>
        <v>0.3</v>
      </c>
    </row>
    <row r="14" spans="1:12" x14ac:dyDescent="0.2">
      <c r="A14" s="20">
        <v>10</v>
      </c>
      <c r="B14" s="20" t="s">
        <v>145</v>
      </c>
      <c r="C14" s="33">
        <v>57</v>
      </c>
      <c r="D14" s="20" t="s">
        <v>171</v>
      </c>
      <c r="E14" s="20" t="s">
        <v>172</v>
      </c>
      <c r="F14" s="20" t="s">
        <v>173</v>
      </c>
      <c r="G14" s="47">
        <v>1.05</v>
      </c>
      <c r="H14" s="14">
        <v>0.56063657407407408</v>
      </c>
      <c r="I14" s="19">
        <v>0.68988425925925922</v>
      </c>
      <c r="J14" s="14">
        <f t="shared" si="0"/>
        <v>0.12924768518518515</v>
      </c>
      <c r="K14" s="96">
        <f t="shared" si="1"/>
        <v>0.13571006944444441</v>
      </c>
      <c r="L14" s="31">
        <f>13/40</f>
        <v>0.32500000000000001</v>
      </c>
    </row>
    <row r="15" spans="1:12" x14ac:dyDescent="0.2">
      <c r="A15" s="20">
        <v>11</v>
      </c>
      <c r="B15" s="26" t="s">
        <v>272</v>
      </c>
      <c r="C15" s="27" t="s">
        <v>273</v>
      </c>
      <c r="D15" s="26" t="s">
        <v>274</v>
      </c>
      <c r="E15" s="26" t="s">
        <v>275</v>
      </c>
      <c r="F15" s="26" t="s">
        <v>66</v>
      </c>
      <c r="G15" s="7">
        <v>1.036</v>
      </c>
      <c r="H15" s="14">
        <v>0.55880787037037039</v>
      </c>
      <c r="I15" s="19">
        <v>0.69062499999999993</v>
      </c>
      <c r="J15" s="14">
        <f t="shared" si="0"/>
        <v>0.13181712962962955</v>
      </c>
      <c r="K15" s="96">
        <f t="shared" si="1"/>
        <v>0.13656254629629622</v>
      </c>
      <c r="L15" s="31">
        <f>17/40</f>
        <v>0.42499999999999999</v>
      </c>
    </row>
    <row r="16" spans="1:12" x14ac:dyDescent="0.2">
      <c r="A16" s="20">
        <v>12</v>
      </c>
      <c r="B16" s="20" t="s">
        <v>148</v>
      </c>
      <c r="C16" s="33">
        <v>162</v>
      </c>
      <c r="D16" s="20" t="s">
        <v>149</v>
      </c>
      <c r="E16" s="20" t="s">
        <v>150</v>
      </c>
      <c r="F16" s="20" t="s">
        <v>151</v>
      </c>
      <c r="G16" s="7">
        <v>1.1499999999999999</v>
      </c>
      <c r="H16" s="14">
        <v>0.5716782407407407</v>
      </c>
      <c r="I16" s="19">
        <v>0.69115740740740739</v>
      </c>
      <c r="J16" s="14">
        <f t="shared" si="0"/>
        <v>0.11947916666666669</v>
      </c>
      <c r="K16" s="96">
        <f t="shared" si="1"/>
        <v>0.1374010416666667</v>
      </c>
      <c r="L16" s="31">
        <f>18/40</f>
        <v>0.45</v>
      </c>
    </row>
    <row r="17" spans="1:12" x14ac:dyDescent="0.2">
      <c r="A17" s="20">
        <v>13</v>
      </c>
      <c r="B17" s="20" t="s">
        <v>71</v>
      </c>
      <c r="C17" s="20">
        <v>42</v>
      </c>
      <c r="D17" s="20"/>
      <c r="E17" s="20" t="s">
        <v>302</v>
      </c>
      <c r="F17" s="20" t="s">
        <v>303</v>
      </c>
      <c r="G17" s="7">
        <v>1.0509999999999999</v>
      </c>
      <c r="H17" s="14">
        <v>0.56063657407407408</v>
      </c>
      <c r="I17" s="19">
        <v>0.69125000000000003</v>
      </c>
      <c r="J17" s="14">
        <f t="shared" si="0"/>
        <v>0.13061342592592595</v>
      </c>
      <c r="K17" s="96">
        <f t="shared" si="1"/>
        <v>0.13727471064814817</v>
      </c>
      <c r="L17" s="31">
        <f>19/40</f>
        <v>0.47499999999999998</v>
      </c>
    </row>
    <row r="18" spans="1:12" x14ac:dyDescent="0.2">
      <c r="A18" s="20">
        <v>14</v>
      </c>
      <c r="B18" s="11" t="s">
        <v>279</v>
      </c>
      <c r="C18" s="11">
        <v>56</v>
      </c>
      <c r="D18" s="11" t="s">
        <v>280</v>
      </c>
      <c r="E18" s="11" t="s">
        <v>281</v>
      </c>
      <c r="F18" s="11" t="s">
        <v>173</v>
      </c>
      <c r="G18" s="7">
        <v>1.0409999999999999</v>
      </c>
      <c r="H18" s="14">
        <v>0.55942129629629633</v>
      </c>
      <c r="I18" s="19">
        <v>0.69230324074074068</v>
      </c>
      <c r="J18" s="14">
        <f t="shared" si="0"/>
        <v>0.13288194444444434</v>
      </c>
      <c r="K18" s="96">
        <f t="shared" si="1"/>
        <v>0.13833010416666655</v>
      </c>
      <c r="L18" s="31">
        <f>22/40</f>
        <v>0.55000000000000004</v>
      </c>
    </row>
    <row r="19" spans="1:12" x14ac:dyDescent="0.2">
      <c r="A19" s="20">
        <v>15</v>
      </c>
      <c r="B19" s="20" t="s">
        <v>317</v>
      </c>
      <c r="C19" s="33">
        <v>3</v>
      </c>
      <c r="D19" s="20"/>
      <c r="E19" s="20" t="s">
        <v>326</v>
      </c>
      <c r="F19" s="20" t="s">
        <v>318</v>
      </c>
      <c r="G19" s="47">
        <v>1.075</v>
      </c>
      <c r="H19" s="14">
        <v>0.56358796296296299</v>
      </c>
      <c r="I19" s="19">
        <v>0.69299768518518512</v>
      </c>
      <c r="J19" s="14">
        <f t="shared" si="0"/>
        <v>0.12940972222222213</v>
      </c>
      <c r="K19" s="96">
        <f t="shared" si="1"/>
        <v>0.13911545138888878</v>
      </c>
      <c r="L19" s="31">
        <f>24/40</f>
        <v>0.6</v>
      </c>
    </row>
    <row r="20" spans="1:12" x14ac:dyDescent="0.2">
      <c r="A20" s="20">
        <v>16</v>
      </c>
      <c r="B20" s="20" t="s">
        <v>305</v>
      </c>
      <c r="C20" s="33">
        <v>6</v>
      </c>
      <c r="D20" s="20" t="s">
        <v>316</v>
      </c>
      <c r="E20" s="20" t="s">
        <v>315</v>
      </c>
      <c r="F20" s="20" t="s">
        <v>286</v>
      </c>
      <c r="G20" s="47">
        <v>1.028</v>
      </c>
      <c r="H20" s="14">
        <v>0.5581828703703704</v>
      </c>
      <c r="I20" s="19">
        <v>0.69528935185185192</v>
      </c>
      <c r="J20" s="14">
        <f t="shared" si="0"/>
        <v>0.13710648148148152</v>
      </c>
      <c r="K20" s="96">
        <f t="shared" si="1"/>
        <v>0.14094546296296301</v>
      </c>
      <c r="L20" s="31">
        <f>26/40</f>
        <v>0.65</v>
      </c>
    </row>
    <row r="21" spans="1:12" x14ac:dyDescent="0.2">
      <c r="A21" s="20">
        <v>17</v>
      </c>
      <c r="B21" s="11" t="s">
        <v>159</v>
      </c>
      <c r="C21" s="74">
        <v>75</v>
      </c>
      <c r="D21" s="11" t="s">
        <v>174</v>
      </c>
      <c r="E21" s="11" t="s">
        <v>306</v>
      </c>
      <c r="F21" s="11" t="s">
        <v>176</v>
      </c>
      <c r="G21" s="7">
        <v>1.093</v>
      </c>
      <c r="H21" s="14">
        <v>0.56585648148148149</v>
      </c>
      <c r="I21" s="19">
        <v>0.69700231481481489</v>
      </c>
      <c r="J21" s="14">
        <f t="shared" si="0"/>
        <v>0.13114583333333341</v>
      </c>
      <c r="K21" s="96">
        <f t="shared" si="1"/>
        <v>0.14334239583333341</v>
      </c>
      <c r="L21" s="31">
        <f>27/40</f>
        <v>0.67500000000000004</v>
      </c>
    </row>
    <row r="22" spans="1:12" x14ac:dyDescent="0.2">
      <c r="A22" s="20">
        <v>18</v>
      </c>
      <c r="B22" s="29" t="s">
        <v>71</v>
      </c>
      <c r="C22" s="100">
        <v>6</v>
      </c>
      <c r="D22" s="29" t="s">
        <v>126</v>
      </c>
      <c r="E22" s="29" t="s">
        <v>127</v>
      </c>
      <c r="F22" s="29" t="s">
        <v>128</v>
      </c>
      <c r="G22" s="70">
        <v>0.999</v>
      </c>
      <c r="H22" s="14">
        <v>0.5543055555555555</v>
      </c>
      <c r="I22" s="128">
        <v>0.69736111111111121</v>
      </c>
      <c r="J22" s="129">
        <f>I22-H22</f>
        <v>0.14305555555555571</v>
      </c>
      <c r="K22" s="130">
        <f t="shared" si="1"/>
        <v>0.14291250000000016</v>
      </c>
      <c r="L22" s="31">
        <f>28/40</f>
        <v>0.7</v>
      </c>
    </row>
    <row r="23" spans="1:12" x14ac:dyDescent="0.2">
      <c r="A23" s="20">
        <v>19</v>
      </c>
      <c r="B23" s="29" t="s">
        <v>327</v>
      </c>
      <c r="C23" s="30" t="s">
        <v>328</v>
      </c>
      <c r="D23" s="29" t="s">
        <v>335</v>
      </c>
      <c r="E23" s="29" t="s">
        <v>329</v>
      </c>
      <c r="F23" s="29" t="s">
        <v>334</v>
      </c>
      <c r="G23" s="70">
        <v>1.028</v>
      </c>
      <c r="H23" s="14">
        <v>0.5581828703703704</v>
      </c>
      <c r="I23" s="19">
        <v>0.69781249999999995</v>
      </c>
      <c r="J23" s="14">
        <f t="shared" si="0"/>
        <v>0.13962962962962955</v>
      </c>
      <c r="K23" s="96">
        <f t="shared" si="1"/>
        <v>0.14353925925925917</v>
      </c>
      <c r="L23" s="31">
        <f>29/40</f>
        <v>0.72499999999999998</v>
      </c>
    </row>
    <row r="24" spans="1:12" x14ac:dyDescent="0.2">
      <c r="A24" s="20">
        <v>20</v>
      </c>
      <c r="B24" s="11" t="s">
        <v>37</v>
      </c>
      <c r="C24" s="11">
        <v>1034</v>
      </c>
      <c r="D24" s="11" t="s">
        <v>38</v>
      </c>
      <c r="E24" s="11" t="s">
        <v>319</v>
      </c>
      <c r="F24" s="11" t="s">
        <v>39</v>
      </c>
      <c r="G24" s="121">
        <v>1.0780000000000001</v>
      </c>
      <c r="H24" s="14">
        <v>0.56416666666666659</v>
      </c>
      <c r="I24" s="19">
        <v>0.69789351851851855</v>
      </c>
      <c r="J24" s="14">
        <f t="shared" si="0"/>
        <v>0.13372685185185196</v>
      </c>
      <c r="K24" s="96">
        <f t="shared" si="1"/>
        <v>0.14415754629629643</v>
      </c>
      <c r="L24" s="31">
        <f>30/40</f>
        <v>0.75</v>
      </c>
    </row>
    <row r="25" spans="1:12" x14ac:dyDescent="0.2">
      <c r="A25" s="20">
        <v>21</v>
      </c>
      <c r="B25" s="20" t="s">
        <v>51</v>
      </c>
      <c r="C25" s="33">
        <v>163</v>
      </c>
      <c r="D25" s="20" t="s">
        <v>312</v>
      </c>
      <c r="E25" s="20" t="s">
        <v>313</v>
      </c>
      <c r="F25" s="20" t="s">
        <v>331</v>
      </c>
      <c r="G25" s="70">
        <v>1.0289999999999999</v>
      </c>
      <c r="H25" s="14">
        <v>0.5581828703703704</v>
      </c>
      <c r="I25" s="19">
        <v>0.69807870370370362</v>
      </c>
      <c r="J25" s="14">
        <f t="shared" si="0"/>
        <v>0.13989583333333322</v>
      </c>
      <c r="K25" s="96">
        <f t="shared" si="1"/>
        <v>0.14395281249999986</v>
      </c>
      <c r="L25" s="31">
        <f>32/40</f>
        <v>0.8</v>
      </c>
    </row>
    <row r="26" spans="1:12" x14ac:dyDescent="0.2">
      <c r="A26" s="20">
        <v>22</v>
      </c>
      <c r="B26" s="20" t="s">
        <v>320</v>
      </c>
      <c r="C26" s="33">
        <v>108</v>
      </c>
      <c r="D26" s="20"/>
      <c r="E26" s="20" t="s">
        <v>321</v>
      </c>
      <c r="F26" s="20" t="s">
        <v>66</v>
      </c>
      <c r="G26" s="70">
        <v>1.091</v>
      </c>
      <c r="H26" s="14">
        <v>0.56530092592592596</v>
      </c>
      <c r="I26" s="19">
        <v>0.69960648148148152</v>
      </c>
      <c r="J26" s="14">
        <f t="shared" si="0"/>
        <v>0.13430555555555557</v>
      </c>
      <c r="K26" s="96">
        <f t="shared" si="1"/>
        <v>0.14652736111111112</v>
      </c>
      <c r="L26" s="31">
        <f>33/40</f>
        <v>0.82499999999999996</v>
      </c>
    </row>
    <row r="27" spans="1:12" x14ac:dyDescent="0.2">
      <c r="A27" s="20">
        <v>23</v>
      </c>
      <c r="B27" s="26" t="s">
        <v>51</v>
      </c>
      <c r="C27" s="127" t="s">
        <v>291</v>
      </c>
      <c r="D27" s="26" t="s">
        <v>292</v>
      </c>
      <c r="E27" s="26" t="s">
        <v>293</v>
      </c>
      <c r="F27" s="26" t="s">
        <v>66</v>
      </c>
      <c r="G27" s="121">
        <v>1.0289999999999999</v>
      </c>
      <c r="H27" s="14">
        <v>0.55957175925925928</v>
      </c>
      <c r="I27" s="19" t="s">
        <v>180</v>
      </c>
      <c r="J27" s="14"/>
      <c r="K27" s="96"/>
      <c r="L27" s="31">
        <v>1.5</v>
      </c>
    </row>
    <row r="28" spans="1:12" x14ac:dyDescent="0.2">
      <c r="A28" s="20">
        <v>24</v>
      </c>
      <c r="B28" s="20" t="s">
        <v>307</v>
      </c>
      <c r="C28" s="20">
        <v>21</v>
      </c>
      <c r="D28" s="20" t="s">
        <v>308</v>
      </c>
      <c r="E28" s="20" t="s">
        <v>309</v>
      </c>
      <c r="F28" s="20" t="s">
        <v>310</v>
      </c>
      <c r="G28" s="121">
        <v>1.04</v>
      </c>
      <c r="H28" s="14">
        <v>0.55942129629629633</v>
      </c>
      <c r="I28" s="19" t="s">
        <v>180</v>
      </c>
      <c r="J28" s="14"/>
      <c r="K28" s="96"/>
      <c r="L28" s="31">
        <v>1.5</v>
      </c>
    </row>
    <row r="29" spans="1:12" x14ac:dyDescent="0.2">
      <c r="A29" s="20">
        <v>25</v>
      </c>
      <c r="B29" s="20" t="s">
        <v>108</v>
      </c>
      <c r="C29" s="33">
        <v>69</v>
      </c>
      <c r="D29" s="20" t="s">
        <v>109</v>
      </c>
      <c r="E29" s="20" t="s">
        <v>110</v>
      </c>
      <c r="F29" s="20" t="s">
        <v>111</v>
      </c>
      <c r="G29" s="47">
        <v>1.103</v>
      </c>
      <c r="H29" s="14">
        <v>0.56695601851851851</v>
      </c>
      <c r="I29" s="19" t="s">
        <v>180</v>
      </c>
      <c r="J29" s="14"/>
      <c r="K29" s="96"/>
      <c r="L29" s="31">
        <v>1.5</v>
      </c>
    </row>
    <row r="30" spans="1:12" x14ac:dyDescent="0.2">
      <c r="K30" s="131" t="s">
        <v>330</v>
      </c>
    </row>
  </sheetData>
  <sortState ref="B5:L29">
    <sortCondition ref="L5:L2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/>
  </sheetViews>
  <sheetFormatPr baseColWidth="10" defaultColWidth="8.83203125" defaultRowHeight="15" x14ac:dyDescent="0.2"/>
  <cols>
    <col min="1" max="1" width="4.6640625" style="21" customWidth="1"/>
    <col min="2" max="2" width="25.6640625" style="21" customWidth="1"/>
    <col min="3" max="3" width="8.6640625" style="21" customWidth="1"/>
    <col min="4" max="6" width="25.6640625" style="21" customWidth="1"/>
    <col min="7" max="7" width="10.6640625" style="21" customWidth="1"/>
    <col min="8" max="11" width="9.6640625" style="32" customWidth="1"/>
    <col min="12" max="13" width="9.6640625" style="53" customWidth="1"/>
    <col min="14" max="15" width="3.6640625" style="32" customWidth="1"/>
    <col min="16" max="16" width="3.6640625" style="32" bestFit="1" customWidth="1"/>
    <col min="17" max="17" width="8.83203125" style="32"/>
    <col min="18" max="16384" width="8.83203125" style="21"/>
  </cols>
  <sheetData>
    <row r="1" spans="1:17" x14ac:dyDescent="0.2">
      <c r="A1" s="21" t="s">
        <v>49</v>
      </c>
      <c r="N1" s="21"/>
      <c r="O1" s="21"/>
      <c r="P1" s="21"/>
      <c r="Q1" s="21"/>
    </row>
    <row r="2" spans="1:17" x14ac:dyDescent="0.2">
      <c r="A2" s="21" t="s">
        <v>16</v>
      </c>
      <c r="N2" s="21"/>
      <c r="O2" s="21"/>
      <c r="P2" s="21"/>
      <c r="Q2" s="21"/>
    </row>
    <row r="3" spans="1:17" ht="16" thickBot="1" x14ac:dyDescent="0.25">
      <c r="N3" s="21"/>
      <c r="O3" s="21"/>
      <c r="P3" s="21"/>
      <c r="Q3" s="21"/>
    </row>
    <row r="4" spans="1:17" ht="16" thickBot="1" x14ac:dyDescent="0.25">
      <c r="A4" s="50" t="s">
        <v>0</v>
      </c>
      <c r="B4" s="50" t="s">
        <v>1</v>
      </c>
      <c r="C4" s="50" t="s">
        <v>2</v>
      </c>
      <c r="D4" s="50" t="s">
        <v>3</v>
      </c>
      <c r="E4" s="50" t="s">
        <v>4</v>
      </c>
      <c r="F4" s="50" t="s">
        <v>5</v>
      </c>
      <c r="G4" s="13" t="s">
        <v>20</v>
      </c>
      <c r="H4" s="13" t="s">
        <v>21</v>
      </c>
      <c r="I4" s="13" t="s">
        <v>22</v>
      </c>
      <c r="J4" s="13" t="s">
        <v>23</v>
      </c>
      <c r="K4" s="54" t="s">
        <v>24</v>
      </c>
      <c r="L4" s="13" t="s">
        <v>48</v>
      </c>
      <c r="M4" s="13" t="s">
        <v>12</v>
      </c>
      <c r="N4" s="21"/>
      <c r="O4" s="21"/>
      <c r="P4" s="21"/>
      <c r="Q4" s="21"/>
    </row>
    <row r="5" spans="1:17" x14ac:dyDescent="0.2">
      <c r="A5" s="52">
        <v>1</v>
      </c>
      <c r="B5" s="52" t="s">
        <v>134</v>
      </c>
      <c r="C5" s="52">
        <v>11</v>
      </c>
      <c r="D5" s="52" t="s">
        <v>135</v>
      </c>
      <c r="E5" s="52" t="s">
        <v>136</v>
      </c>
      <c r="F5" s="52" t="s">
        <v>137</v>
      </c>
      <c r="G5" s="49">
        <v>1.042</v>
      </c>
      <c r="H5" s="5">
        <v>0.38194444444444442</v>
      </c>
      <c r="I5" s="5">
        <v>0.60016203703703697</v>
      </c>
      <c r="J5" s="14">
        <f t="shared" ref="J5:J41" si="0">I5-H5</f>
        <v>0.21821759259259255</v>
      </c>
      <c r="K5" s="18">
        <f t="shared" ref="K5:K41" si="1">G5*J5</f>
        <v>0.22738273148148144</v>
      </c>
      <c r="L5" s="113"/>
      <c r="M5" s="77">
        <f>1/47</f>
        <v>2.1276595744680851E-2</v>
      </c>
      <c r="N5" s="21"/>
      <c r="O5" s="21"/>
      <c r="P5" s="21"/>
      <c r="Q5" s="21"/>
    </row>
    <row r="6" spans="1:17" s="98" customFormat="1" x14ac:dyDescent="0.2">
      <c r="A6" s="20">
        <v>2</v>
      </c>
      <c r="B6" s="20" t="s">
        <v>84</v>
      </c>
      <c r="C6" s="20">
        <v>27</v>
      </c>
      <c r="D6" s="20" t="s">
        <v>85</v>
      </c>
      <c r="E6" s="20" t="s">
        <v>86</v>
      </c>
      <c r="F6" s="20" t="s">
        <v>348</v>
      </c>
      <c r="G6" s="48">
        <v>1.103</v>
      </c>
      <c r="H6" s="14">
        <v>0.37847222222222227</v>
      </c>
      <c r="I6" s="14">
        <v>0.58872685185185192</v>
      </c>
      <c r="J6" s="14">
        <f t="shared" si="0"/>
        <v>0.21025462962962965</v>
      </c>
      <c r="K6" s="19">
        <f t="shared" si="1"/>
        <v>0.23191085648148149</v>
      </c>
      <c r="L6" s="114"/>
      <c r="M6" s="31">
        <f>2/47</f>
        <v>4.2553191489361701E-2</v>
      </c>
    </row>
    <row r="7" spans="1:17" x14ac:dyDescent="0.2">
      <c r="A7" s="20">
        <v>3</v>
      </c>
      <c r="B7" s="20" t="s">
        <v>84</v>
      </c>
      <c r="C7" s="20">
        <v>34</v>
      </c>
      <c r="D7" s="20" t="s">
        <v>398</v>
      </c>
      <c r="E7" s="20" t="s">
        <v>374</v>
      </c>
      <c r="F7" s="20" t="s">
        <v>375</v>
      </c>
      <c r="G7" s="48">
        <v>1.103</v>
      </c>
      <c r="H7" s="14">
        <v>0.37847222222222227</v>
      </c>
      <c r="I7" s="14">
        <v>0.58907407407407408</v>
      </c>
      <c r="J7" s="14">
        <f t="shared" si="0"/>
        <v>0.21060185185185182</v>
      </c>
      <c r="K7" s="19">
        <f t="shared" si="1"/>
        <v>0.23229384259259256</v>
      </c>
      <c r="L7" s="114"/>
      <c r="M7" s="31">
        <f>3/47</f>
        <v>6.3829787234042548E-2</v>
      </c>
      <c r="N7" s="21"/>
      <c r="O7" s="21"/>
      <c r="P7" s="21"/>
      <c r="Q7" s="21"/>
    </row>
    <row r="8" spans="1:17" x14ac:dyDescent="0.2">
      <c r="A8" s="20">
        <v>4</v>
      </c>
      <c r="B8" s="20" t="s">
        <v>74</v>
      </c>
      <c r="C8" s="20">
        <v>6</v>
      </c>
      <c r="D8" s="20" t="s">
        <v>41</v>
      </c>
      <c r="E8" s="20" t="s">
        <v>42</v>
      </c>
      <c r="F8" s="20" t="s">
        <v>26</v>
      </c>
      <c r="G8" s="48">
        <v>1.091</v>
      </c>
      <c r="H8" s="14">
        <v>0.37847222222222227</v>
      </c>
      <c r="I8" s="14">
        <v>0.59546296296296297</v>
      </c>
      <c r="J8" s="14">
        <f t="shared" si="0"/>
        <v>0.21699074074074071</v>
      </c>
      <c r="K8" s="19">
        <f t="shared" si="1"/>
        <v>0.23673689814814811</v>
      </c>
      <c r="L8" s="114"/>
      <c r="M8" s="31">
        <f>4/47</f>
        <v>8.5106382978723402E-2</v>
      </c>
      <c r="N8" s="21"/>
      <c r="O8" s="21"/>
      <c r="P8" s="21"/>
      <c r="Q8" s="21"/>
    </row>
    <row r="9" spans="1:17" s="98" customFormat="1" x14ac:dyDescent="0.2">
      <c r="A9" s="20">
        <v>5</v>
      </c>
      <c r="B9" s="20" t="s">
        <v>118</v>
      </c>
      <c r="C9" s="20">
        <v>49</v>
      </c>
      <c r="D9" s="20" t="s">
        <v>119</v>
      </c>
      <c r="E9" s="20" t="s">
        <v>120</v>
      </c>
      <c r="F9" s="20" t="s">
        <v>26</v>
      </c>
      <c r="G9" s="31">
        <v>1.1639999999999999</v>
      </c>
      <c r="H9" s="14">
        <v>0.37847222222222227</v>
      </c>
      <c r="I9" s="14">
        <v>0.58200231481481479</v>
      </c>
      <c r="J9" s="14">
        <f t="shared" si="0"/>
        <v>0.20353009259259253</v>
      </c>
      <c r="K9" s="19">
        <f t="shared" si="1"/>
        <v>0.2369090277777777</v>
      </c>
      <c r="L9" s="114"/>
      <c r="M9" s="31">
        <f>5/47</f>
        <v>0.10638297872340426</v>
      </c>
    </row>
    <row r="10" spans="1:17" s="98" customFormat="1" x14ac:dyDescent="0.2">
      <c r="A10" s="20">
        <v>6</v>
      </c>
      <c r="B10" s="20" t="s">
        <v>75</v>
      </c>
      <c r="C10" s="20">
        <v>10070</v>
      </c>
      <c r="D10" s="20" t="s">
        <v>93</v>
      </c>
      <c r="E10" s="20" t="s">
        <v>299</v>
      </c>
      <c r="F10" s="20" t="s">
        <v>25</v>
      </c>
      <c r="G10" s="31">
        <v>1.1060000000000001</v>
      </c>
      <c r="H10" s="14">
        <v>0.37847222222222227</v>
      </c>
      <c r="I10" s="14">
        <v>0.59271990740740743</v>
      </c>
      <c r="J10" s="14">
        <f t="shared" si="0"/>
        <v>0.21424768518518517</v>
      </c>
      <c r="K10" s="19">
        <f t="shared" si="1"/>
        <v>0.23695793981481481</v>
      </c>
      <c r="L10" s="114"/>
      <c r="M10" s="31">
        <f>6/47</f>
        <v>0.1276595744680851</v>
      </c>
    </row>
    <row r="11" spans="1:17" s="32" customFormat="1" x14ac:dyDescent="0.2">
      <c r="A11" s="20">
        <v>7</v>
      </c>
      <c r="B11" s="20" t="s">
        <v>376</v>
      </c>
      <c r="C11" s="20">
        <v>9618</v>
      </c>
      <c r="D11" s="20" t="s">
        <v>399</v>
      </c>
      <c r="E11" s="20" t="s">
        <v>377</v>
      </c>
      <c r="F11" s="20" t="s">
        <v>378</v>
      </c>
      <c r="G11" s="48">
        <v>1.077</v>
      </c>
      <c r="H11" s="14">
        <v>0.38194444444444442</v>
      </c>
      <c r="I11" s="14">
        <v>0.60317129629629629</v>
      </c>
      <c r="J11" s="14">
        <f t="shared" si="0"/>
        <v>0.22122685185185187</v>
      </c>
      <c r="K11" s="19">
        <f t="shared" si="1"/>
        <v>0.23826131944444445</v>
      </c>
      <c r="L11" s="114"/>
      <c r="M11" s="31">
        <f>7/47</f>
        <v>0.14893617021276595</v>
      </c>
    </row>
    <row r="12" spans="1:17" x14ac:dyDescent="0.2">
      <c r="A12" s="20">
        <v>8</v>
      </c>
      <c r="B12" s="20" t="s">
        <v>343</v>
      </c>
      <c r="C12" s="20">
        <v>162</v>
      </c>
      <c r="D12" s="20" t="s">
        <v>149</v>
      </c>
      <c r="E12" s="20" t="s">
        <v>150</v>
      </c>
      <c r="F12" s="20" t="s">
        <v>344</v>
      </c>
      <c r="G12" s="48">
        <v>1.1499999999999999</v>
      </c>
      <c r="H12" s="14">
        <v>0.37847222222222227</v>
      </c>
      <c r="I12" s="14">
        <v>0.58607638888888891</v>
      </c>
      <c r="J12" s="14">
        <f t="shared" si="0"/>
        <v>0.20760416666666665</v>
      </c>
      <c r="K12" s="19">
        <f t="shared" si="1"/>
        <v>0.23874479166666662</v>
      </c>
      <c r="L12" s="114"/>
      <c r="M12" s="31">
        <f>8/47</f>
        <v>0.1702127659574468</v>
      </c>
      <c r="N12" s="21"/>
      <c r="O12" s="21"/>
      <c r="P12" s="21"/>
      <c r="Q12" s="21"/>
    </row>
    <row r="13" spans="1:17" s="98" customFormat="1" x14ac:dyDescent="0.2">
      <c r="A13" s="20">
        <v>9</v>
      </c>
      <c r="B13" s="20" t="s">
        <v>349</v>
      </c>
      <c r="C13" s="20">
        <v>49</v>
      </c>
      <c r="D13" s="20" t="s">
        <v>143</v>
      </c>
      <c r="E13" s="20" t="s">
        <v>144</v>
      </c>
      <c r="F13" s="20" t="s">
        <v>379</v>
      </c>
      <c r="G13" s="48">
        <v>1.0089999999999999</v>
      </c>
      <c r="H13" s="14">
        <v>0.38194444444444442</v>
      </c>
      <c r="I13" s="14">
        <v>0.61859953703703707</v>
      </c>
      <c r="J13" s="14">
        <f t="shared" si="0"/>
        <v>0.23665509259259265</v>
      </c>
      <c r="K13" s="19">
        <f t="shared" si="1"/>
        <v>0.23878498842592596</v>
      </c>
      <c r="L13" s="114"/>
      <c r="M13" s="31">
        <f>9/47</f>
        <v>0.19148936170212766</v>
      </c>
    </row>
    <row r="14" spans="1:17" x14ac:dyDescent="0.2">
      <c r="A14" s="20">
        <v>10</v>
      </c>
      <c r="B14" s="20" t="s">
        <v>148</v>
      </c>
      <c r="C14" s="20">
        <v>13697</v>
      </c>
      <c r="D14" s="20" t="s">
        <v>345</v>
      </c>
      <c r="E14" s="20" t="s">
        <v>346</v>
      </c>
      <c r="F14" s="20" t="s">
        <v>347</v>
      </c>
      <c r="G14" s="48">
        <v>1.1399999999999999</v>
      </c>
      <c r="H14" s="14">
        <v>0.37847222222222227</v>
      </c>
      <c r="I14" s="14">
        <v>0.58881944444444445</v>
      </c>
      <c r="J14" s="14">
        <f t="shared" si="0"/>
        <v>0.21034722222222219</v>
      </c>
      <c r="K14" s="19">
        <f t="shared" si="1"/>
        <v>0.23979583333333326</v>
      </c>
      <c r="L14" s="114"/>
      <c r="M14" s="31">
        <f>10/47</f>
        <v>0.21276595744680851</v>
      </c>
      <c r="N14" s="21"/>
      <c r="O14" s="21"/>
      <c r="P14" s="21"/>
      <c r="Q14" s="21"/>
    </row>
    <row r="15" spans="1:17" s="98" customFormat="1" x14ac:dyDescent="0.2">
      <c r="A15" s="20">
        <v>11</v>
      </c>
      <c r="B15" s="20" t="s">
        <v>108</v>
      </c>
      <c r="C15" s="20">
        <v>69</v>
      </c>
      <c r="D15" s="20" t="s">
        <v>109</v>
      </c>
      <c r="E15" s="20" t="s">
        <v>110</v>
      </c>
      <c r="F15" s="20" t="s">
        <v>310</v>
      </c>
      <c r="G15" s="48">
        <v>1.1299999999999999</v>
      </c>
      <c r="H15" s="14">
        <v>0.37847222222222227</v>
      </c>
      <c r="I15" s="14">
        <v>0.59079861111111109</v>
      </c>
      <c r="J15" s="14">
        <f t="shared" si="0"/>
        <v>0.21232638888888883</v>
      </c>
      <c r="K15" s="19">
        <f t="shared" si="1"/>
        <v>0.23992881944444436</v>
      </c>
      <c r="L15" s="114"/>
      <c r="M15" s="31">
        <f>11/47</f>
        <v>0.23404255319148937</v>
      </c>
      <c r="N15" s="99"/>
      <c r="O15" s="99"/>
      <c r="P15" s="99"/>
      <c r="Q15" s="99"/>
    </row>
    <row r="16" spans="1:17" x14ac:dyDescent="0.2">
      <c r="A16" s="20">
        <v>12</v>
      </c>
      <c r="B16" s="20" t="s">
        <v>108</v>
      </c>
      <c r="C16" s="20">
        <v>85</v>
      </c>
      <c r="D16" s="20" t="s">
        <v>156</v>
      </c>
      <c r="E16" s="20" t="s">
        <v>157</v>
      </c>
      <c r="F16" s="20" t="s">
        <v>155</v>
      </c>
      <c r="G16" s="48">
        <v>1.1379999999999999</v>
      </c>
      <c r="H16" s="14">
        <v>0.37847222222222227</v>
      </c>
      <c r="I16" s="14">
        <v>0.59116898148148145</v>
      </c>
      <c r="J16" s="14">
        <f t="shared" si="0"/>
        <v>0.21269675925925918</v>
      </c>
      <c r="K16" s="19">
        <f t="shared" si="1"/>
        <v>0.24204891203703693</v>
      </c>
      <c r="L16" s="114"/>
      <c r="M16" s="31">
        <f>12/47</f>
        <v>0.25531914893617019</v>
      </c>
    </row>
    <row r="17" spans="1:17" s="98" customFormat="1" x14ac:dyDescent="0.2">
      <c r="A17" s="20">
        <v>13</v>
      </c>
      <c r="B17" s="20" t="s">
        <v>43</v>
      </c>
      <c r="C17" s="20">
        <v>80</v>
      </c>
      <c r="D17" s="20" t="s">
        <v>355</v>
      </c>
      <c r="E17" s="20" t="s">
        <v>44</v>
      </c>
      <c r="F17" s="20" t="s">
        <v>26</v>
      </c>
      <c r="G17" s="48">
        <v>1.127</v>
      </c>
      <c r="H17" s="14">
        <v>0.37847222222222227</v>
      </c>
      <c r="I17" s="14">
        <v>0.59553240740740743</v>
      </c>
      <c r="J17" s="14">
        <f t="shared" si="0"/>
        <v>0.21706018518518516</v>
      </c>
      <c r="K17" s="19">
        <f t="shared" si="1"/>
        <v>0.24462682870370367</v>
      </c>
      <c r="L17" s="114"/>
      <c r="M17" s="31">
        <f>13/47</f>
        <v>0.27659574468085107</v>
      </c>
    </row>
    <row r="18" spans="1:17" s="98" customFormat="1" x14ac:dyDescent="0.2">
      <c r="A18" s="20">
        <v>14</v>
      </c>
      <c r="B18" s="20" t="s">
        <v>268</v>
      </c>
      <c r="C18" s="20">
        <v>536</v>
      </c>
      <c r="D18" s="39" t="s">
        <v>332</v>
      </c>
      <c r="E18" s="20" t="s">
        <v>380</v>
      </c>
      <c r="F18" s="20" t="s">
        <v>334</v>
      </c>
      <c r="G18" s="48">
        <v>1.038</v>
      </c>
      <c r="H18" s="14">
        <v>0.38194444444444442</v>
      </c>
      <c r="I18" s="14">
        <v>0.61841435185185178</v>
      </c>
      <c r="J18" s="14">
        <f t="shared" si="0"/>
        <v>0.23646990740740736</v>
      </c>
      <c r="K18" s="19">
        <f t="shared" si="1"/>
        <v>0.24545576388888884</v>
      </c>
      <c r="L18" s="114"/>
      <c r="M18" s="31">
        <f>14/47</f>
        <v>0.2978723404255319</v>
      </c>
    </row>
    <row r="19" spans="1:17" s="98" customFormat="1" x14ac:dyDescent="0.2">
      <c r="A19" s="20">
        <v>15</v>
      </c>
      <c r="B19" s="20" t="s">
        <v>29</v>
      </c>
      <c r="C19" s="20">
        <v>306</v>
      </c>
      <c r="D19" s="20" t="s">
        <v>30</v>
      </c>
      <c r="E19" s="20" t="s">
        <v>31</v>
      </c>
      <c r="F19" s="20" t="s">
        <v>25</v>
      </c>
      <c r="G19" s="48">
        <v>1.0169999999999999</v>
      </c>
      <c r="H19" s="14">
        <v>0.38194444444444442</v>
      </c>
      <c r="I19" s="14">
        <v>0.62358796296296293</v>
      </c>
      <c r="J19" s="14">
        <f t="shared" si="0"/>
        <v>0.24164351851851851</v>
      </c>
      <c r="K19" s="19">
        <f t="shared" si="1"/>
        <v>0.24575145833333331</v>
      </c>
      <c r="L19" s="114"/>
      <c r="M19" s="31">
        <f>15/47</f>
        <v>0.31914893617021278</v>
      </c>
    </row>
    <row r="20" spans="1:17" s="98" customFormat="1" x14ac:dyDescent="0.2">
      <c r="A20" s="20">
        <v>16</v>
      </c>
      <c r="B20" s="20" t="s">
        <v>54</v>
      </c>
      <c r="C20" s="33" t="s">
        <v>55</v>
      </c>
      <c r="D20" s="20" t="s">
        <v>56</v>
      </c>
      <c r="E20" s="20" t="s">
        <v>57</v>
      </c>
      <c r="F20" s="20" t="s">
        <v>58</v>
      </c>
      <c r="G20" s="15">
        <v>1.038</v>
      </c>
      <c r="H20" s="14">
        <v>0.38194444444444442</v>
      </c>
      <c r="I20" s="14">
        <v>0.62033564814814812</v>
      </c>
      <c r="J20" s="14">
        <f t="shared" si="0"/>
        <v>0.2383912037037037</v>
      </c>
      <c r="K20" s="19">
        <f t="shared" si="1"/>
        <v>0.24745006944444445</v>
      </c>
      <c r="L20" s="114"/>
      <c r="M20" s="31">
        <f>16/47</f>
        <v>0.34042553191489361</v>
      </c>
    </row>
    <row r="21" spans="1:17" x14ac:dyDescent="0.2">
      <c r="A21" s="20">
        <v>17</v>
      </c>
      <c r="B21" s="26" t="s">
        <v>168</v>
      </c>
      <c r="C21" s="27" t="s">
        <v>300</v>
      </c>
      <c r="D21" s="26" t="s">
        <v>301</v>
      </c>
      <c r="E21" s="26" t="s">
        <v>170</v>
      </c>
      <c r="F21" s="26" t="s">
        <v>66</v>
      </c>
      <c r="G21" s="48">
        <v>1.085</v>
      </c>
      <c r="H21" s="14">
        <v>0.37847222222222227</v>
      </c>
      <c r="I21" s="14">
        <v>0.60938657407407404</v>
      </c>
      <c r="J21" s="14">
        <f t="shared" si="0"/>
        <v>0.23091435185185177</v>
      </c>
      <c r="K21" s="19">
        <f t="shared" si="1"/>
        <v>0.25054207175925919</v>
      </c>
      <c r="L21" s="114"/>
      <c r="M21" s="31">
        <f>17/47</f>
        <v>0.36170212765957449</v>
      </c>
      <c r="N21" s="21"/>
      <c r="O21" s="21"/>
      <c r="P21" s="21"/>
      <c r="Q21" s="21"/>
    </row>
    <row r="22" spans="1:17" x14ac:dyDescent="0.2">
      <c r="A22" s="20">
        <v>18</v>
      </c>
      <c r="B22" s="20" t="s">
        <v>245</v>
      </c>
      <c r="C22" s="20">
        <v>35</v>
      </c>
      <c r="D22" s="20" t="s">
        <v>246</v>
      </c>
      <c r="E22" s="20" t="s">
        <v>247</v>
      </c>
      <c r="F22" s="20" t="s">
        <v>353</v>
      </c>
      <c r="G22" s="48">
        <v>1.091</v>
      </c>
      <c r="H22" s="14">
        <v>0.37847222222222227</v>
      </c>
      <c r="I22" s="14">
        <v>0.60868055555555556</v>
      </c>
      <c r="J22" s="14">
        <f t="shared" si="0"/>
        <v>0.23020833333333329</v>
      </c>
      <c r="K22" s="19">
        <f t="shared" si="1"/>
        <v>0.25115729166666662</v>
      </c>
      <c r="L22" s="114"/>
      <c r="M22" s="31">
        <f>18/47</f>
        <v>0.38297872340425532</v>
      </c>
      <c r="N22" s="21"/>
      <c r="O22" s="21"/>
      <c r="P22" s="21"/>
      <c r="Q22" s="21"/>
    </row>
    <row r="23" spans="1:17" s="98" customFormat="1" x14ac:dyDescent="0.2">
      <c r="A23" s="20">
        <v>19</v>
      </c>
      <c r="B23" s="20" t="s">
        <v>320</v>
      </c>
      <c r="C23" s="33">
        <v>108</v>
      </c>
      <c r="D23" s="20"/>
      <c r="E23" s="20" t="s">
        <v>321</v>
      </c>
      <c r="F23" s="20" t="s">
        <v>66</v>
      </c>
      <c r="G23" s="47">
        <v>1.091</v>
      </c>
      <c r="H23" s="14">
        <v>0.37847222222222227</v>
      </c>
      <c r="I23" s="14">
        <v>0.60961805555555559</v>
      </c>
      <c r="J23" s="14">
        <f t="shared" si="0"/>
        <v>0.23114583333333333</v>
      </c>
      <c r="K23" s="19">
        <f t="shared" si="1"/>
        <v>0.25218010416666664</v>
      </c>
      <c r="L23" s="114"/>
      <c r="M23" s="31">
        <f>19/47</f>
        <v>0.40425531914893614</v>
      </c>
    </row>
    <row r="24" spans="1:17" x14ac:dyDescent="0.2">
      <c r="A24" s="20">
        <v>20</v>
      </c>
      <c r="B24" s="20" t="s">
        <v>311</v>
      </c>
      <c r="C24" s="20">
        <v>703</v>
      </c>
      <c r="D24" s="20" t="s">
        <v>356</v>
      </c>
      <c r="E24" s="20" t="s">
        <v>289</v>
      </c>
      <c r="F24" s="20" t="s">
        <v>176</v>
      </c>
      <c r="G24" s="48">
        <v>1.0589999999999999</v>
      </c>
      <c r="H24" s="14">
        <v>0.38194444444444442</v>
      </c>
      <c r="I24" s="14">
        <v>0.62364583333333334</v>
      </c>
      <c r="J24" s="14">
        <f t="shared" si="0"/>
        <v>0.24170138888888892</v>
      </c>
      <c r="K24" s="19">
        <f t="shared" si="1"/>
        <v>0.25596177083333338</v>
      </c>
      <c r="L24" s="114"/>
      <c r="M24" s="31">
        <f>20/47</f>
        <v>0.42553191489361702</v>
      </c>
      <c r="N24" s="21"/>
      <c r="O24" s="21"/>
      <c r="P24" s="21"/>
      <c r="Q24" s="21"/>
    </row>
    <row r="25" spans="1:17" x14ac:dyDescent="0.2">
      <c r="A25" s="20">
        <v>21</v>
      </c>
      <c r="B25" s="20" t="s">
        <v>360</v>
      </c>
      <c r="C25" s="20">
        <v>15340</v>
      </c>
      <c r="D25" s="20" t="s">
        <v>361</v>
      </c>
      <c r="E25" s="20" t="s">
        <v>362</v>
      </c>
      <c r="F25" s="20" t="s">
        <v>155</v>
      </c>
      <c r="G25" s="48">
        <v>1.0840000000000001</v>
      </c>
      <c r="H25" s="14">
        <v>0.37847222222222227</v>
      </c>
      <c r="I25" s="14">
        <v>0.61487268518518523</v>
      </c>
      <c r="J25" s="14">
        <f t="shared" si="0"/>
        <v>0.23640046296296297</v>
      </c>
      <c r="K25" s="19">
        <f t="shared" si="1"/>
        <v>0.25625810185185188</v>
      </c>
      <c r="L25" s="114"/>
      <c r="M25" s="31">
        <f>21/47</f>
        <v>0.44680851063829785</v>
      </c>
      <c r="N25" s="21"/>
      <c r="O25" s="21"/>
      <c r="P25" s="21"/>
      <c r="Q25" s="21"/>
    </row>
    <row r="26" spans="1:17" x14ac:dyDescent="0.2">
      <c r="A26" s="20">
        <v>22</v>
      </c>
      <c r="B26" s="20" t="s">
        <v>159</v>
      </c>
      <c r="C26" s="20">
        <v>33</v>
      </c>
      <c r="D26" s="20" t="s">
        <v>160</v>
      </c>
      <c r="E26" s="20" t="s">
        <v>161</v>
      </c>
      <c r="F26" s="20" t="s">
        <v>66</v>
      </c>
      <c r="G26" s="48">
        <v>1.113</v>
      </c>
      <c r="H26" s="14">
        <v>0.37847222222222227</v>
      </c>
      <c r="I26" s="14">
        <v>0.61070601851851858</v>
      </c>
      <c r="J26" s="14">
        <f t="shared" si="0"/>
        <v>0.23223379629629631</v>
      </c>
      <c r="K26" s="19">
        <f t="shared" si="1"/>
        <v>0.25847621527777781</v>
      </c>
      <c r="L26" s="114"/>
      <c r="M26" s="31">
        <f>22/47</f>
        <v>0.46808510638297873</v>
      </c>
      <c r="N26" s="21"/>
      <c r="O26" s="21"/>
      <c r="P26" s="21"/>
      <c r="Q26" s="21"/>
    </row>
    <row r="27" spans="1:17" s="98" customFormat="1" x14ac:dyDescent="0.2">
      <c r="A27" s="20">
        <v>23</v>
      </c>
      <c r="B27" s="20" t="s">
        <v>322</v>
      </c>
      <c r="C27" s="33">
        <v>1</v>
      </c>
      <c r="D27" s="20" t="s">
        <v>274</v>
      </c>
      <c r="E27" s="20" t="s">
        <v>304</v>
      </c>
      <c r="F27" s="20" t="s">
        <v>173</v>
      </c>
      <c r="G27" s="47">
        <v>1.1060000000000001</v>
      </c>
      <c r="H27" s="14">
        <v>0.37847222222222227</v>
      </c>
      <c r="I27" s="14">
        <v>0.61256944444444439</v>
      </c>
      <c r="J27" s="14">
        <f t="shared" si="0"/>
        <v>0.23409722222222212</v>
      </c>
      <c r="K27" s="19">
        <f t="shared" si="1"/>
        <v>0.25891152777777771</v>
      </c>
      <c r="L27" s="114"/>
      <c r="M27" s="31">
        <f>23/47</f>
        <v>0.48936170212765956</v>
      </c>
    </row>
    <row r="28" spans="1:17" s="98" customFormat="1" x14ac:dyDescent="0.2">
      <c r="A28" s="20">
        <v>24</v>
      </c>
      <c r="B28" s="20" t="s">
        <v>381</v>
      </c>
      <c r="C28" s="20">
        <v>7407</v>
      </c>
      <c r="D28" s="20" t="s">
        <v>400</v>
      </c>
      <c r="E28" s="20" t="s">
        <v>382</v>
      </c>
      <c r="F28" s="20" t="s">
        <v>66</v>
      </c>
      <c r="G28" s="48">
        <v>1.054</v>
      </c>
      <c r="H28" s="14">
        <v>0.38194444444444442</v>
      </c>
      <c r="I28" s="14">
        <v>0.63028935185185186</v>
      </c>
      <c r="J28" s="14">
        <f t="shared" si="0"/>
        <v>0.24834490740740744</v>
      </c>
      <c r="K28" s="19">
        <f t="shared" si="1"/>
        <v>0.26175553240740745</v>
      </c>
      <c r="L28" s="114"/>
      <c r="M28" s="31">
        <f>24/47</f>
        <v>0.51063829787234039</v>
      </c>
    </row>
    <row r="29" spans="1:17" x14ac:dyDescent="0.2">
      <c r="A29" s="20">
        <v>25</v>
      </c>
      <c r="B29" s="20" t="s">
        <v>71</v>
      </c>
      <c r="C29" s="20">
        <v>6</v>
      </c>
      <c r="D29" s="20" t="s">
        <v>126</v>
      </c>
      <c r="E29" s="20" t="s">
        <v>127</v>
      </c>
      <c r="F29" s="20" t="s">
        <v>128</v>
      </c>
      <c r="G29" s="48">
        <v>1.0429999999999999</v>
      </c>
      <c r="H29" s="14">
        <v>0.38194444444444442</v>
      </c>
      <c r="I29" s="14">
        <v>0.63388888888888884</v>
      </c>
      <c r="J29" s="14">
        <f t="shared" si="0"/>
        <v>0.25194444444444442</v>
      </c>
      <c r="K29" s="19">
        <f t="shared" si="1"/>
        <v>0.2627780555555555</v>
      </c>
      <c r="L29" s="114"/>
      <c r="M29" s="31">
        <f>25/47</f>
        <v>0.53191489361702127</v>
      </c>
      <c r="N29" s="21"/>
      <c r="O29" s="21"/>
      <c r="P29" s="21"/>
      <c r="Q29" s="21"/>
    </row>
    <row r="30" spans="1:17" x14ac:dyDescent="0.2">
      <c r="A30" s="20">
        <v>26</v>
      </c>
      <c r="B30" s="11" t="s">
        <v>159</v>
      </c>
      <c r="C30" s="11">
        <v>75</v>
      </c>
      <c r="D30" s="11" t="s">
        <v>174</v>
      </c>
      <c r="E30" s="11" t="s">
        <v>306</v>
      </c>
      <c r="F30" s="11" t="s">
        <v>176</v>
      </c>
      <c r="G30" s="31">
        <v>1.093</v>
      </c>
      <c r="H30" s="14">
        <v>0.37847222222222227</v>
      </c>
      <c r="I30" s="14">
        <v>0.62071759259259263</v>
      </c>
      <c r="J30" s="14">
        <f t="shared" si="0"/>
        <v>0.24224537037037036</v>
      </c>
      <c r="K30" s="19">
        <f t="shared" si="1"/>
        <v>0.26477418981481482</v>
      </c>
      <c r="L30" s="114"/>
      <c r="M30" s="31">
        <f>27/47</f>
        <v>0.57446808510638303</v>
      </c>
      <c r="N30" s="21"/>
      <c r="O30" s="21"/>
      <c r="P30" s="21"/>
      <c r="Q30" s="21"/>
    </row>
    <row r="31" spans="1:17" x14ac:dyDescent="0.2">
      <c r="A31" s="20">
        <v>27</v>
      </c>
      <c r="B31" s="20" t="s">
        <v>357</v>
      </c>
      <c r="C31" s="20">
        <v>131</v>
      </c>
      <c r="D31" s="20" t="s">
        <v>358</v>
      </c>
      <c r="E31" s="20" t="s">
        <v>359</v>
      </c>
      <c r="F31" s="20" t="s">
        <v>173</v>
      </c>
      <c r="G31" s="48">
        <v>1.056</v>
      </c>
      <c r="H31" s="14">
        <v>0.38194444444444442</v>
      </c>
      <c r="I31" s="14">
        <v>0.63278935185185181</v>
      </c>
      <c r="J31" s="14">
        <f t="shared" si="0"/>
        <v>0.25084490740740739</v>
      </c>
      <c r="K31" s="19">
        <f t="shared" si="1"/>
        <v>0.2648922222222222</v>
      </c>
      <c r="L31" s="114"/>
      <c r="M31" s="31">
        <f>28/47</f>
        <v>0.5957446808510638</v>
      </c>
      <c r="N31" s="21"/>
      <c r="O31" s="21"/>
      <c r="P31" s="21"/>
      <c r="Q31" s="21"/>
    </row>
    <row r="32" spans="1:17" s="98" customFormat="1" x14ac:dyDescent="0.2">
      <c r="A32" s="20">
        <v>28</v>
      </c>
      <c r="B32" s="20" t="s">
        <v>311</v>
      </c>
      <c r="C32" s="20">
        <v>477</v>
      </c>
      <c r="D32" s="20" t="s">
        <v>401</v>
      </c>
      <c r="E32" s="20" t="s">
        <v>393</v>
      </c>
      <c r="F32" s="20" t="s">
        <v>394</v>
      </c>
      <c r="G32" s="48">
        <v>1.0680000000000001</v>
      </c>
      <c r="H32" s="14">
        <v>0.38194444444444442</v>
      </c>
      <c r="I32" s="14">
        <v>0.63026620370370368</v>
      </c>
      <c r="J32" s="14">
        <f t="shared" si="0"/>
        <v>0.24832175925925926</v>
      </c>
      <c r="K32" s="19">
        <f t="shared" si="1"/>
        <v>0.26520763888888887</v>
      </c>
      <c r="L32" s="114"/>
      <c r="M32" s="31">
        <f>29/47</f>
        <v>0.61702127659574468</v>
      </c>
    </row>
    <row r="33" spans="1:17" x14ac:dyDescent="0.2">
      <c r="A33" s="20">
        <v>29</v>
      </c>
      <c r="B33" s="20" t="s">
        <v>363</v>
      </c>
      <c r="C33" s="20">
        <v>3</v>
      </c>
      <c r="D33" s="20" t="s">
        <v>364</v>
      </c>
      <c r="E33" s="20" t="s">
        <v>365</v>
      </c>
      <c r="F33" s="20" t="s">
        <v>133</v>
      </c>
      <c r="G33" s="48">
        <v>1.0680000000000001</v>
      </c>
      <c r="H33" s="14">
        <v>0.38194444444444442</v>
      </c>
      <c r="I33" s="14">
        <v>0.63052083333333331</v>
      </c>
      <c r="J33" s="14">
        <f t="shared" si="0"/>
        <v>0.24857638888888889</v>
      </c>
      <c r="K33" s="19">
        <f t="shared" si="1"/>
        <v>0.26547958333333332</v>
      </c>
      <c r="L33" s="114"/>
      <c r="M33" s="31">
        <f>30/47</f>
        <v>0.63829787234042556</v>
      </c>
      <c r="N33" s="21"/>
      <c r="O33" s="21"/>
      <c r="P33" s="21"/>
      <c r="Q33" s="21"/>
    </row>
    <row r="34" spans="1:17" s="98" customFormat="1" x14ac:dyDescent="0.2">
      <c r="A34" s="20">
        <v>30</v>
      </c>
      <c r="B34" s="20" t="s">
        <v>177</v>
      </c>
      <c r="C34" s="20">
        <v>279</v>
      </c>
      <c r="D34" s="20" t="s">
        <v>178</v>
      </c>
      <c r="E34" s="20" t="s">
        <v>179</v>
      </c>
      <c r="F34" s="20" t="s">
        <v>36</v>
      </c>
      <c r="G34" s="48">
        <v>1.0449999999999999</v>
      </c>
      <c r="H34" s="14">
        <v>0.38194444444444442</v>
      </c>
      <c r="I34" s="14">
        <v>0.63914351851851847</v>
      </c>
      <c r="J34" s="14">
        <f t="shared" si="0"/>
        <v>0.25719907407407405</v>
      </c>
      <c r="K34" s="19">
        <f t="shared" si="1"/>
        <v>0.26877303240740735</v>
      </c>
      <c r="L34" s="114"/>
      <c r="M34" s="31">
        <f>31/47</f>
        <v>0.65957446808510634</v>
      </c>
    </row>
    <row r="35" spans="1:17" s="98" customFormat="1" x14ac:dyDescent="0.2">
      <c r="A35" s="20">
        <v>31</v>
      </c>
      <c r="B35" s="20" t="s">
        <v>94</v>
      </c>
      <c r="C35" s="20">
        <v>1</v>
      </c>
      <c r="D35" s="20" t="s">
        <v>366</v>
      </c>
      <c r="E35" s="20" t="s">
        <v>367</v>
      </c>
      <c r="F35" s="20" t="s">
        <v>368</v>
      </c>
      <c r="G35" s="48">
        <v>1.07</v>
      </c>
      <c r="H35" s="14">
        <v>0.38194444444444442</v>
      </c>
      <c r="I35" s="14">
        <v>0.63498842592592586</v>
      </c>
      <c r="J35" s="14">
        <f t="shared" si="0"/>
        <v>0.25304398148148144</v>
      </c>
      <c r="K35" s="19">
        <f t="shared" si="1"/>
        <v>0.27075706018518514</v>
      </c>
      <c r="L35" s="114"/>
      <c r="M35" s="31">
        <f>32/47</f>
        <v>0.68085106382978722</v>
      </c>
    </row>
    <row r="36" spans="1:17" x14ac:dyDescent="0.2">
      <c r="A36" s="20">
        <v>32</v>
      </c>
      <c r="B36" s="20" t="s">
        <v>177</v>
      </c>
      <c r="C36" s="20">
        <v>11512</v>
      </c>
      <c r="D36" s="20" t="s">
        <v>371</v>
      </c>
      <c r="E36" s="20" t="s">
        <v>372</v>
      </c>
      <c r="F36" s="20" t="s">
        <v>373</v>
      </c>
      <c r="G36" s="48">
        <v>1.056</v>
      </c>
      <c r="H36" s="14">
        <v>0.38194444444444442</v>
      </c>
      <c r="I36" s="14">
        <v>0.63855324074074071</v>
      </c>
      <c r="J36" s="14">
        <f t="shared" si="0"/>
        <v>0.25660879629629629</v>
      </c>
      <c r="K36" s="19">
        <f t="shared" si="1"/>
        <v>0.27097888888888888</v>
      </c>
      <c r="L36" s="114"/>
      <c r="M36" s="31">
        <f>33/47</f>
        <v>0.7021276595744681</v>
      </c>
    </row>
    <row r="37" spans="1:17" x14ac:dyDescent="0.2">
      <c r="A37" s="20">
        <v>33</v>
      </c>
      <c r="B37" s="20" t="s">
        <v>29</v>
      </c>
      <c r="C37" s="20">
        <v>100</v>
      </c>
      <c r="D37" s="20" t="s">
        <v>402</v>
      </c>
      <c r="E37" s="20" t="s">
        <v>386</v>
      </c>
      <c r="F37" s="20" t="s">
        <v>66</v>
      </c>
      <c r="G37" s="48">
        <v>1.0249999999999999</v>
      </c>
      <c r="H37" s="14">
        <v>0.38194444444444442</v>
      </c>
      <c r="I37" s="14">
        <v>0.65310185185185188</v>
      </c>
      <c r="J37" s="14">
        <f t="shared" si="0"/>
        <v>0.27115740740740746</v>
      </c>
      <c r="K37" s="19">
        <f t="shared" si="1"/>
        <v>0.27793634259259264</v>
      </c>
      <c r="L37" s="114"/>
      <c r="M37" s="31">
        <f>34/47</f>
        <v>0.72340425531914898</v>
      </c>
    </row>
    <row r="38" spans="1:17" s="98" customFormat="1" x14ac:dyDescent="0.2">
      <c r="A38" s="20">
        <v>34</v>
      </c>
      <c r="B38" s="20" t="s">
        <v>387</v>
      </c>
      <c r="C38" s="20">
        <v>5</v>
      </c>
      <c r="D38" s="20" t="s">
        <v>403</v>
      </c>
      <c r="E38" s="20" t="s">
        <v>388</v>
      </c>
      <c r="F38" s="20" t="s">
        <v>58</v>
      </c>
      <c r="G38" s="48">
        <v>1.075</v>
      </c>
      <c r="H38" s="14">
        <v>0.38194444444444442</v>
      </c>
      <c r="I38" s="14">
        <v>0.64189814814814816</v>
      </c>
      <c r="J38" s="14">
        <f t="shared" si="0"/>
        <v>0.25995370370370374</v>
      </c>
      <c r="K38" s="19">
        <f t="shared" si="1"/>
        <v>0.27945023148148151</v>
      </c>
      <c r="L38" s="114"/>
      <c r="M38" s="31">
        <f>35/47</f>
        <v>0.74468085106382975</v>
      </c>
      <c r="N38" s="99"/>
      <c r="O38" s="99"/>
      <c r="P38" s="99"/>
      <c r="Q38" s="99"/>
    </row>
    <row r="39" spans="1:17" s="98" customFormat="1" x14ac:dyDescent="0.2">
      <c r="A39" s="20">
        <v>35</v>
      </c>
      <c r="B39" s="20" t="s">
        <v>307</v>
      </c>
      <c r="C39" s="20">
        <v>16</v>
      </c>
      <c r="D39" s="20" t="s">
        <v>404</v>
      </c>
      <c r="E39" s="20" t="s">
        <v>389</v>
      </c>
      <c r="F39" s="20" t="s">
        <v>66</v>
      </c>
      <c r="G39" s="48">
        <v>1.073</v>
      </c>
      <c r="H39" s="14">
        <v>0.37847222222222227</v>
      </c>
      <c r="I39" s="14">
        <v>0.64153935185185185</v>
      </c>
      <c r="J39" s="14">
        <f t="shared" si="0"/>
        <v>0.26306712962962958</v>
      </c>
      <c r="K39" s="19">
        <f t="shared" si="1"/>
        <v>0.28227103009259252</v>
      </c>
      <c r="L39" s="114"/>
      <c r="M39" s="31">
        <f>36/47</f>
        <v>0.76595744680851063</v>
      </c>
      <c r="N39" s="99"/>
      <c r="O39" s="99"/>
      <c r="P39" s="99"/>
      <c r="Q39" s="99"/>
    </row>
    <row r="40" spans="1:17" s="98" customFormat="1" x14ac:dyDescent="0.2">
      <c r="A40" s="20">
        <v>36</v>
      </c>
      <c r="B40" s="20" t="s">
        <v>383</v>
      </c>
      <c r="C40" s="20">
        <v>1058</v>
      </c>
      <c r="D40" s="20" t="s">
        <v>405</v>
      </c>
      <c r="E40" s="20" t="s">
        <v>384</v>
      </c>
      <c r="F40" s="20" t="s">
        <v>385</v>
      </c>
      <c r="G40" s="48">
        <v>1.0349999999999999</v>
      </c>
      <c r="H40" s="14">
        <v>0.38194444444444442</v>
      </c>
      <c r="I40" s="14">
        <v>0.67660879629629633</v>
      </c>
      <c r="J40" s="14">
        <f t="shared" si="0"/>
        <v>0.29466435185185191</v>
      </c>
      <c r="K40" s="19">
        <f t="shared" si="1"/>
        <v>0.30497760416666669</v>
      </c>
      <c r="L40" s="114"/>
      <c r="M40" s="31">
        <f>37/47</f>
        <v>0.78723404255319152</v>
      </c>
      <c r="N40" s="99"/>
      <c r="O40" s="99"/>
      <c r="P40" s="99"/>
      <c r="Q40" s="99"/>
    </row>
    <row r="41" spans="1:17" s="98" customFormat="1" x14ac:dyDescent="0.2">
      <c r="A41" s="20">
        <v>37</v>
      </c>
      <c r="B41" s="20" t="s">
        <v>395</v>
      </c>
      <c r="C41" s="20">
        <v>8095</v>
      </c>
      <c r="D41" s="20" t="s">
        <v>406</v>
      </c>
      <c r="E41" s="20" t="s">
        <v>396</v>
      </c>
      <c r="F41" s="20" t="s">
        <v>26</v>
      </c>
      <c r="G41" s="48">
        <v>1.0309999999999999</v>
      </c>
      <c r="H41" s="14">
        <v>0.38194444444444442</v>
      </c>
      <c r="I41" s="14">
        <v>0.68967592592592597</v>
      </c>
      <c r="J41" s="14">
        <f t="shared" si="0"/>
        <v>0.30773148148148155</v>
      </c>
      <c r="K41" s="19">
        <f t="shared" si="1"/>
        <v>0.31727115740740747</v>
      </c>
      <c r="L41" s="114"/>
      <c r="M41" s="31">
        <f>38/47</f>
        <v>0.80851063829787229</v>
      </c>
      <c r="N41" s="99"/>
      <c r="O41" s="99"/>
      <c r="P41" s="99"/>
      <c r="Q41" s="99"/>
    </row>
    <row r="42" spans="1:17" s="98" customFormat="1" x14ac:dyDescent="0.2">
      <c r="A42" s="20"/>
      <c r="B42" s="20" t="s">
        <v>94</v>
      </c>
      <c r="C42" s="20">
        <v>3</v>
      </c>
      <c r="D42" s="20" t="s">
        <v>95</v>
      </c>
      <c r="E42" s="20" t="s">
        <v>96</v>
      </c>
      <c r="F42" s="20" t="s">
        <v>26</v>
      </c>
      <c r="G42" s="48">
        <v>1.0920000000000001</v>
      </c>
      <c r="H42" s="14"/>
      <c r="I42" s="14"/>
      <c r="J42" s="14"/>
      <c r="K42" s="19" t="s">
        <v>70</v>
      </c>
      <c r="L42" s="114"/>
      <c r="M42" s="31">
        <f>48/47</f>
        <v>1.0212765957446808</v>
      </c>
      <c r="N42" s="99"/>
      <c r="O42" s="99"/>
      <c r="P42" s="99"/>
      <c r="Q42" s="99"/>
    </row>
    <row r="43" spans="1:17" s="98" customFormat="1" x14ac:dyDescent="0.2">
      <c r="A43" s="20"/>
      <c r="B43" s="20" t="s">
        <v>29</v>
      </c>
      <c r="C43" s="20">
        <v>80</v>
      </c>
      <c r="D43" s="20" t="s">
        <v>407</v>
      </c>
      <c r="E43" s="20" t="s">
        <v>390</v>
      </c>
      <c r="F43" s="20" t="s">
        <v>173</v>
      </c>
      <c r="G43" s="48">
        <v>1.012</v>
      </c>
      <c r="H43" s="14"/>
      <c r="I43" s="14"/>
      <c r="J43" s="14"/>
      <c r="K43" s="19" t="s">
        <v>70</v>
      </c>
      <c r="L43" s="114"/>
      <c r="M43" s="31">
        <f t="shared" ref="M43:M50" si="2">48/47</f>
        <v>1.0212765957446808</v>
      </c>
      <c r="N43" s="99"/>
      <c r="O43" s="99"/>
      <c r="P43" s="99"/>
      <c r="Q43" s="99"/>
    </row>
    <row r="44" spans="1:17" x14ac:dyDescent="0.2">
      <c r="A44" s="20"/>
      <c r="B44" s="20" t="s">
        <v>350</v>
      </c>
      <c r="C44" s="20">
        <v>47</v>
      </c>
      <c r="D44" s="20" t="s">
        <v>351</v>
      </c>
      <c r="E44" s="20" t="s">
        <v>352</v>
      </c>
      <c r="F44" s="20" t="s">
        <v>66</v>
      </c>
      <c r="G44" s="31">
        <v>1.006</v>
      </c>
      <c r="H44" s="14"/>
      <c r="I44" s="14"/>
      <c r="J44" s="14"/>
      <c r="K44" s="19" t="s">
        <v>70</v>
      </c>
      <c r="L44" s="114"/>
      <c r="M44" s="31">
        <f t="shared" si="2"/>
        <v>1.0212765957446808</v>
      </c>
    </row>
    <row r="45" spans="1:17" s="98" customFormat="1" x14ac:dyDescent="0.2">
      <c r="A45" s="20"/>
      <c r="B45" s="20" t="s">
        <v>35</v>
      </c>
      <c r="C45" s="20">
        <v>39</v>
      </c>
      <c r="D45" s="20" t="s">
        <v>27</v>
      </c>
      <c r="E45" s="20" t="s">
        <v>28</v>
      </c>
      <c r="F45" s="20" t="s">
        <v>36</v>
      </c>
      <c r="G45" s="48">
        <v>1.048</v>
      </c>
      <c r="H45" s="14"/>
      <c r="I45" s="14"/>
      <c r="J45" s="14"/>
      <c r="K45" s="19" t="s">
        <v>70</v>
      </c>
      <c r="L45" s="114"/>
      <c r="M45" s="31">
        <f t="shared" si="2"/>
        <v>1.0212765957446808</v>
      </c>
      <c r="N45" s="99"/>
      <c r="O45" s="99"/>
      <c r="P45" s="99"/>
      <c r="Q45" s="99"/>
    </row>
    <row r="46" spans="1:17" x14ac:dyDescent="0.2">
      <c r="A46" s="20"/>
      <c r="B46" s="20" t="s">
        <v>354</v>
      </c>
      <c r="C46" s="20">
        <v>3</v>
      </c>
      <c r="D46" s="20" t="s">
        <v>68</v>
      </c>
      <c r="E46" s="20" t="s">
        <v>69</v>
      </c>
      <c r="F46" s="20" t="s">
        <v>26</v>
      </c>
      <c r="G46" s="48">
        <v>1.0109999999999999</v>
      </c>
      <c r="H46" s="14"/>
      <c r="I46" s="14"/>
      <c r="J46" s="14"/>
      <c r="K46" s="19" t="s">
        <v>70</v>
      </c>
      <c r="L46" s="114"/>
      <c r="M46" s="31">
        <f t="shared" si="2"/>
        <v>1.0212765957446808</v>
      </c>
    </row>
    <row r="47" spans="1:17" x14ac:dyDescent="0.2">
      <c r="A47" s="20"/>
      <c r="B47" s="20" t="s">
        <v>311</v>
      </c>
      <c r="C47" s="20">
        <v>5407</v>
      </c>
      <c r="D47" s="20" t="s">
        <v>408</v>
      </c>
      <c r="E47" s="20" t="s">
        <v>391</v>
      </c>
      <c r="F47" s="20" t="s">
        <v>26</v>
      </c>
      <c r="G47" s="48">
        <v>1.1060000000000001</v>
      </c>
      <c r="H47" s="14"/>
      <c r="I47" s="14"/>
      <c r="J47" s="14"/>
      <c r="K47" s="19" t="s">
        <v>70</v>
      </c>
      <c r="L47" s="114"/>
      <c r="M47" s="31">
        <f t="shared" si="2"/>
        <v>1.0212765957446808</v>
      </c>
    </row>
    <row r="48" spans="1:17" s="98" customFormat="1" x14ac:dyDescent="0.2">
      <c r="A48" s="20"/>
      <c r="B48" s="20" t="s">
        <v>283</v>
      </c>
      <c r="C48" s="11">
        <v>84</v>
      </c>
      <c r="D48" s="11" t="s">
        <v>284</v>
      </c>
      <c r="E48" s="11" t="s">
        <v>285</v>
      </c>
      <c r="F48" s="11" t="s">
        <v>286</v>
      </c>
      <c r="G48" s="48">
        <v>1.0620000000000001</v>
      </c>
      <c r="H48" s="14"/>
      <c r="I48" s="14"/>
      <c r="J48" s="14"/>
      <c r="K48" s="19" t="s">
        <v>70</v>
      </c>
      <c r="L48" s="114"/>
      <c r="M48" s="31">
        <f t="shared" si="2"/>
        <v>1.0212765957446808</v>
      </c>
    </row>
    <row r="49" spans="1:17" x14ac:dyDescent="0.2">
      <c r="A49" s="20"/>
      <c r="B49" s="20" t="s">
        <v>369</v>
      </c>
      <c r="C49" s="20">
        <v>10830</v>
      </c>
      <c r="D49" s="20" t="s">
        <v>409</v>
      </c>
      <c r="E49" s="20" t="s">
        <v>370</v>
      </c>
      <c r="F49" s="20" t="s">
        <v>62</v>
      </c>
      <c r="G49" s="48">
        <v>1.081</v>
      </c>
      <c r="H49" s="14"/>
      <c r="I49" s="14"/>
      <c r="J49" s="14"/>
      <c r="K49" s="19" t="s">
        <v>70</v>
      </c>
      <c r="L49" s="114"/>
      <c r="M49" s="31">
        <f t="shared" si="2"/>
        <v>1.0212765957446808</v>
      </c>
      <c r="N49" s="21"/>
      <c r="O49" s="21"/>
      <c r="P49" s="21"/>
      <c r="Q49" s="21"/>
    </row>
    <row r="50" spans="1:17" x14ac:dyDescent="0.2">
      <c r="A50" s="20"/>
      <c r="B50" s="20" t="s">
        <v>75</v>
      </c>
      <c r="C50" s="20">
        <v>26</v>
      </c>
      <c r="D50" s="20" t="s">
        <v>214</v>
      </c>
      <c r="E50" s="20" t="s">
        <v>397</v>
      </c>
      <c r="F50" s="20"/>
      <c r="G50" s="48">
        <v>1.115</v>
      </c>
      <c r="H50" s="14"/>
      <c r="I50" s="14"/>
      <c r="J50" s="14"/>
      <c r="K50" s="19" t="s">
        <v>70</v>
      </c>
      <c r="L50" s="114"/>
      <c r="M50" s="31">
        <f t="shared" si="2"/>
        <v>1.0212765957446808</v>
      </c>
      <c r="N50" s="21"/>
      <c r="O50" s="21"/>
      <c r="P50" s="21"/>
      <c r="Q50" s="21"/>
    </row>
    <row r="51" spans="1:17" s="98" customFormat="1" x14ac:dyDescent="0.2">
      <c r="A51" s="20"/>
      <c r="B51" s="20" t="s">
        <v>320</v>
      </c>
      <c r="C51" s="20">
        <v>303</v>
      </c>
      <c r="D51" s="20" t="s">
        <v>410</v>
      </c>
      <c r="E51" s="20" t="s">
        <v>392</v>
      </c>
      <c r="F51" s="20" t="s">
        <v>155</v>
      </c>
      <c r="G51" s="48">
        <v>1.091</v>
      </c>
      <c r="H51" s="14"/>
      <c r="I51" s="14"/>
      <c r="J51" s="14"/>
      <c r="K51" s="19" t="s">
        <v>180</v>
      </c>
      <c r="L51" s="114"/>
      <c r="M51" s="31">
        <v>1.5</v>
      </c>
    </row>
    <row r="52" spans="1:17" s="98" customFormat="1" x14ac:dyDescent="0.2">
      <c r="A52" s="20"/>
      <c r="B52" s="20" t="s">
        <v>71</v>
      </c>
      <c r="C52" s="20">
        <v>39</v>
      </c>
      <c r="D52" s="20" t="s">
        <v>411</v>
      </c>
      <c r="E52" s="20" t="s">
        <v>132</v>
      </c>
      <c r="F52" s="20" t="s">
        <v>133</v>
      </c>
      <c r="G52" s="48">
        <v>1.048</v>
      </c>
      <c r="H52" s="14"/>
      <c r="I52" s="14"/>
      <c r="J52" s="14"/>
      <c r="K52" s="19" t="s">
        <v>180</v>
      </c>
      <c r="L52" s="114"/>
      <c r="M52" s="31">
        <v>1.5</v>
      </c>
    </row>
  </sheetData>
  <sortState ref="B5:K52">
    <sortCondition ref="K5:K5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ColWidth="8.83203125" defaultRowHeight="15" x14ac:dyDescent="0.2"/>
  <cols>
    <col min="1" max="1" width="4.6640625" style="1" customWidth="1"/>
    <col min="2" max="2" width="25.6640625" style="1" customWidth="1"/>
    <col min="3" max="3" width="8.6640625" style="1" customWidth="1"/>
    <col min="4" max="6" width="25.6640625" style="1" customWidth="1"/>
    <col min="7" max="7" width="10.6640625" style="1" customWidth="1"/>
    <col min="8" max="9" width="5.5" style="2" customWidth="1"/>
    <col min="10" max="10" width="5.5" style="1" customWidth="1"/>
    <col min="11" max="11" width="9.6640625" style="2" customWidth="1"/>
    <col min="12" max="16384" width="8.83203125" style="1"/>
  </cols>
  <sheetData>
    <row r="1" spans="1:11" x14ac:dyDescent="0.2">
      <c r="A1" s="21" t="s">
        <v>49</v>
      </c>
    </row>
    <row r="2" spans="1:11" x14ac:dyDescent="0.2">
      <c r="A2" s="1" t="s">
        <v>17</v>
      </c>
    </row>
    <row r="3" spans="1:11" ht="16" thickBot="1" x14ac:dyDescent="0.25"/>
    <row r="4" spans="1:11" ht="16" thickBo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54" t="s">
        <v>20</v>
      </c>
      <c r="H4" s="4" t="s">
        <v>32</v>
      </c>
      <c r="I4" s="4" t="s">
        <v>33</v>
      </c>
      <c r="J4" s="13" t="s">
        <v>34</v>
      </c>
      <c r="K4" s="13" t="s">
        <v>12</v>
      </c>
    </row>
    <row r="5" spans="1:11" x14ac:dyDescent="0.2">
      <c r="A5" s="8">
        <v>1</v>
      </c>
      <c r="B5" s="29" t="s">
        <v>134</v>
      </c>
      <c r="C5" s="100">
        <v>11</v>
      </c>
      <c r="D5" s="29" t="s">
        <v>135</v>
      </c>
      <c r="E5" s="29" t="s">
        <v>136</v>
      </c>
      <c r="F5" s="29" t="s">
        <v>137</v>
      </c>
      <c r="G5" s="72">
        <v>1.042</v>
      </c>
      <c r="H5" s="55">
        <v>1</v>
      </c>
      <c r="I5" s="55">
        <v>1</v>
      </c>
      <c r="J5" s="56">
        <v>2</v>
      </c>
      <c r="K5" s="84">
        <f>1/13</f>
        <v>7.6923076923076927E-2</v>
      </c>
    </row>
    <row r="6" spans="1:11" x14ac:dyDescent="0.2">
      <c r="A6" s="11">
        <v>2</v>
      </c>
      <c r="B6" s="20" t="s">
        <v>40</v>
      </c>
      <c r="C6" s="20">
        <v>6</v>
      </c>
      <c r="D6" s="20" t="s">
        <v>41</v>
      </c>
      <c r="E6" s="20" t="s">
        <v>42</v>
      </c>
      <c r="F6" s="20" t="s">
        <v>26</v>
      </c>
      <c r="G6" s="7">
        <v>1.091</v>
      </c>
      <c r="H6" s="57">
        <v>4</v>
      </c>
      <c r="I6" s="57">
        <v>4</v>
      </c>
      <c r="J6" s="58">
        <v>8</v>
      </c>
      <c r="K6" s="88">
        <f>3/13</f>
        <v>0.23076923076923078</v>
      </c>
    </row>
    <row r="7" spans="1:11" x14ac:dyDescent="0.2">
      <c r="A7" s="11">
        <v>3</v>
      </c>
      <c r="B7" s="38" t="s">
        <v>75</v>
      </c>
      <c r="C7" s="46">
        <v>10070</v>
      </c>
      <c r="D7" s="39" t="s">
        <v>93</v>
      </c>
      <c r="E7" s="40" t="s">
        <v>299</v>
      </c>
      <c r="F7" s="41" t="s">
        <v>25</v>
      </c>
      <c r="G7" s="47">
        <v>1.1060000000000001</v>
      </c>
      <c r="H7" s="57">
        <v>2</v>
      </c>
      <c r="I7" s="57">
        <v>8</v>
      </c>
      <c r="J7" s="58">
        <v>10</v>
      </c>
      <c r="K7" s="88">
        <f>5/13</f>
        <v>0.38461538461538464</v>
      </c>
    </row>
    <row r="8" spans="1:11" x14ac:dyDescent="0.2">
      <c r="A8" s="11">
        <v>4</v>
      </c>
      <c r="B8" s="20" t="s">
        <v>29</v>
      </c>
      <c r="C8" s="20">
        <v>306</v>
      </c>
      <c r="D8" s="20" t="s">
        <v>30</v>
      </c>
      <c r="E8" s="20" t="s">
        <v>31</v>
      </c>
      <c r="F8" s="20" t="s">
        <v>25</v>
      </c>
      <c r="G8" s="72">
        <v>1.0169999999999999</v>
      </c>
      <c r="H8" s="57">
        <v>6</v>
      </c>
      <c r="I8" s="57">
        <v>6</v>
      </c>
      <c r="J8" s="58">
        <v>12</v>
      </c>
      <c r="K8" s="88">
        <f>6/13</f>
        <v>0.46153846153846156</v>
      </c>
    </row>
    <row r="9" spans="1:11" x14ac:dyDescent="0.2">
      <c r="A9" s="11">
        <v>5</v>
      </c>
      <c r="B9" s="20" t="s">
        <v>63</v>
      </c>
      <c r="C9" s="20">
        <v>197</v>
      </c>
      <c r="D9" s="20" t="s">
        <v>65</v>
      </c>
      <c r="E9" s="20" t="s">
        <v>64</v>
      </c>
      <c r="F9" s="20" t="s">
        <v>66</v>
      </c>
      <c r="G9" s="72">
        <v>1.0369999999999999</v>
      </c>
      <c r="H9" s="57">
        <v>9</v>
      </c>
      <c r="I9" s="57">
        <v>10</v>
      </c>
      <c r="J9" s="58">
        <v>19</v>
      </c>
      <c r="K9" s="88">
        <f>9/13</f>
        <v>0.69230769230769229</v>
      </c>
    </row>
    <row r="10" spans="1:11" x14ac:dyDescent="0.2">
      <c r="A10" s="11">
        <v>6</v>
      </c>
      <c r="B10" s="38" t="s">
        <v>112</v>
      </c>
      <c r="C10" s="46">
        <v>23</v>
      </c>
      <c r="D10" s="39" t="s">
        <v>216</v>
      </c>
      <c r="E10" s="40" t="s">
        <v>217</v>
      </c>
      <c r="F10" s="41"/>
      <c r="G10" s="16">
        <v>1.0489999999999999</v>
      </c>
      <c r="H10" s="57">
        <v>12</v>
      </c>
      <c r="I10" s="57">
        <v>9</v>
      </c>
      <c r="J10" s="58">
        <v>21</v>
      </c>
      <c r="K10" s="88">
        <f>10/13</f>
        <v>0.76923076923076927</v>
      </c>
    </row>
    <row r="11" spans="1:11" x14ac:dyDescent="0.2">
      <c r="A11" s="11">
        <v>7</v>
      </c>
      <c r="B11" s="20" t="s">
        <v>112</v>
      </c>
      <c r="C11" s="33">
        <v>64</v>
      </c>
      <c r="D11" s="20" t="s">
        <v>152</v>
      </c>
      <c r="E11" s="20" t="s">
        <v>153</v>
      </c>
      <c r="F11" s="20" t="s">
        <v>58</v>
      </c>
      <c r="G11" s="7">
        <v>1.0469999999999999</v>
      </c>
      <c r="H11" s="57">
        <v>11</v>
      </c>
      <c r="I11" s="57">
        <v>11</v>
      </c>
      <c r="J11" s="58">
        <v>22</v>
      </c>
      <c r="K11" s="88">
        <f>12/13</f>
        <v>0.92307692307692313</v>
      </c>
    </row>
    <row r="12" spans="1:11" x14ac:dyDescent="0.2">
      <c r="A12" s="11"/>
      <c r="B12" s="20" t="s">
        <v>35</v>
      </c>
      <c r="C12" s="20">
        <v>39</v>
      </c>
      <c r="D12" s="20" t="s">
        <v>27</v>
      </c>
      <c r="E12" s="20" t="s">
        <v>28</v>
      </c>
      <c r="F12" s="20" t="s">
        <v>36</v>
      </c>
      <c r="G12" s="72">
        <v>1.048</v>
      </c>
      <c r="H12" s="57"/>
      <c r="I12" s="57"/>
      <c r="J12" s="58" t="s">
        <v>180</v>
      </c>
      <c r="K12" s="88">
        <v>1.5</v>
      </c>
    </row>
  </sheetData>
  <sortState ref="A5:K26">
    <sortCondition ref="A5:A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Sammanställning</vt:lpstr>
      <vt:lpstr>StoraO</vt:lpstr>
      <vt:lpstr>MBBR</vt:lpstr>
      <vt:lpstr>PaterN</vt:lpstr>
      <vt:lpstr>GOSR</vt:lpstr>
      <vt:lpstr>HermÖ</vt:lpstr>
      <vt:lpstr>TjörnR</vt:lpstr>
      <vt:lpstr>SistaC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Möller</dc:creator>
  <cp:lastModifiedBy>Microsoft Office-användare</cp:lastModifiedBy>
  <cp:lastPrinted>2018-09-16T11:13:23Z</cp:lastPrinted>
  <dcterms:created xsi:type="dcterms:W3CDTF">2012-12-25T16:45:29Z</dcterms:created>
  <dcterms:modified xsi:type="dcterms:W3CDTF">2018-09-16T11:18:43Z</dcterms:modified>
</cp:coreProperties>
</file>